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<sst xmlns="http://schemas.openxmlformats.org/spreadsheetml/2006/main" count="78" uniqueCount="78">
  <si>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СПРАВКА</t>
  </si>
  <si>
    <t xml:space="preserve">Начислено  </t>
  </si>
  <si>
    <t>Расходы</t>
  </si>
  <si>
    <t>Услуги РИРЦ</t>
  </si>
  <si>
    <t>Вывоз ТБО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</si>
  <si>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</si>
  <si>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</si>
  <si>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</si>
  <si>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</si>
  <si>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</si>
  <si>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</si>
  <si>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</si>
  <si>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</si>
  <si>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</si>
  <si>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</si>
  <si>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</si>
  <si>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</si>
  <si>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</si>
  <si>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</si>
  <si>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</si>
  <si>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</si>
  <si>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</si>
  <si>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</si>
  <si>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</si>
  <si>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</si>
  <si>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</si>
  <si>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</si>
  <si>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</si>
  <si>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</si>
  <si>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</si>
  <si>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</si>
  <si>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</si>
  <si>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4.6</t>
  </si>
  <si>
    <t>4.7</t>
  </si>
  <si>
    <t>4.8</t>
  </si>
  <si>
    <t>4.9</t>
  </si>
  <si>
    <t>4.11</t>
  </si>
  <si>
    <t>5</t>
  </si>
  <si>
    <t>6</t>
  </si>
  <si>
    <t>7</t>
  </si>
  <si>
    <t>8</t>
  </si>
  <si>
    <t>9</t>
  </si>
  <si>
    <t>по жилому дому г. Унеча ул. Ленина д.4</t>
  </si>
  <si>
    <t>10</t>
  </si>
  <si>
    <t>Финансовый результат по дому с начала года</t>
  </si>
  <si>
    <t>за 2010 г</t>
  </si>
  <si>
    <t>Итого за 2011 г</t>
  </si>
  <si>
    <t>Проверка дымовых каналов</t>
  </si>
  <si>
    <t>11</t>
  </si>
  <si>
    <t>Результат за месяц</t>
  </si>
  <si>
    <t>Итого за 2012 г</t>
  </si>
  <si>
    <t>Благоустройство территории</t>
  </si>
  <si>
    <t>4.12</t>
  </si>
  <si>
    <t>4.13</t>
  </si>
  <si>
    <t>4.14</t>
  </si>
  <si>
    <t>4.15</t>
  </si>
  <si>
    <t xml:space="preserve">Материалы </t>
  </si>
  <si>
    <t>Итого за 2013 г</t>
  </si>
  <si>
    <t>Дом по ул Ленина д.4 вступил в ООО "Наш дом" с февраля 2010 года                                        тариф 10,35 руб.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</si>
  <si>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</si>
  <si>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</si>
  <si>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</si>
  <si>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</si>
  <si>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</si>
  <si>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>Исполнитель  вед. экономист /Викторова Л.С../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</si>
  <si>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</si>
  <si>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</si>
  <si>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</si>
  <si>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</si>
  <si>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Электроэнергия СОИД</t>
  </si>
  <si>
    <t>Холодная вода СОИД</t>
  </si>
  <si>
    <t>Канализация СОИД</t>
  </si>
  <si>
    <t>Тех. обслуживание газопроводов</t>
  </si>
  <si>
    <t>Дератизация</t>
  </si>
  <si>
    <t>Транспортные(ГСМ,зап.части,амортизация,страхование)</t>
  </si>
  <si>
    <t>4.5</t>
  </si>
  <si>
    <t>Итого за 2018 г</t>
  </si>
  <si>
    <t>Всего за 2010-2018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</si>
</sst>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5" fillId="0" borderId="34" xfId="0" applyFont="1" applyBorder="1" applyAlignment="1">
      <alignment/>
    </xf>
    <xf numFmtId="0" fontId="21" fillId="0" borderId="26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49" fontId="0" fillId="0" borderId="37" xfId="0" applyNumberFormat="1" applyBorder="1" applyAlignment="1">
      <alignment horizontal="center"/>
    </xf>
    <xf numFmtId="2" fontId="21" fillId="0" borderId="37" xfId="0" applyNumberFormat="1" applyFont="1" applyBorder="1" applyAlignment="1">
      <alignment horizontal="right" wrapText="1"/>
    </xf>
    <xf numFmtId="0" fontId="26" fillId="0" borderId="34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0" fontId="26" fillId="0" borderId="39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18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2" fontId="21" fillId="0" borderId="37" xfId="0" applyNumberFormat="1" applyFont="1" applyBorder="1" applyAlignment="1">
      <alignment/>
    </xf>
    <xf numFmtId="49" fontId="22" fillId="0" borderId="35" xfId="0" applyNumberFormat="1" applyFont="1" applyBorder="1" applyAlignment="1">
      <alignment horizontal="center"/>
    </xf>
    <xf numFmtId="0" fontId="19" fillId="0" borderId="29" xfId="0" applyFont="1" applyBorder="1" applyAlignment="1">
      <alignment wrapText="1"/>
    </xf>
    <xf numFmtId="0" fontId="27" fillId="0" borderId="26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26" xfId="0" applyFont="1" applyBorder="1" applyAlignment="1">
      <alignment/>
    </xf>
    <xf numFmtId="0" fontId="22" fillId="0" borderId="0" xfId="0" applyFont="1" applyAlignment="1">
      <alignment/>
    </xf>
    <xf numFmtId="0" fontId="27" fillId="0" borderId="29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2" fontId="27" fillId="0" borderId="26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7">
      <selection activeCell="V24" sqref="V24"/>
    </sheetView>
  </sheetViews>
  <sheetFormatPr defaultColWidth="9.00390625" defaultRowHeight="12.75"/>
  <cols>
    <col min="1" max="1" width="3.375" style="34" customWidth="1"/>
    <col min="2" max="2" width="22.125" style="0" customWidth="1"/>
    <col min="3" max="3" width="7.25390625" style="0" hidden="1" customWidth="1"/>
    <col min="4" max="4" width="8.25390625" style="0" hidden="1" customWidth="1"/>
    <col min="5" max="5" width="10.00390625" style="0" hidden="1" customWidth="1"/>
    <col min="6" max="6" width="9.875" style="0" hidden="1" customWidth="1"/>
    <col min="7" max="7" width="9.25390625" style="0" hidden="1" customWidth="1"/>
    <col min="8" max="8" width="9.625" style="0" hidden="1" customWidth="1"/>
    <col min="9" max="9" width="9.375" style="0" hidden="1" customWidth="1"/>
    <col min="10" max="10" width="8.25390625" style="0" hidden="1" customWidth="1"/>
    <col min="11" max="11" width="8.375" style="0" customWidth="1"/>
    <col min="12" max="12" width="8.625" style="0" customWidth="1"/>
    <col min="13" max="13" width="8.125" style="0" customWidth="1"/>
    <col min="14" max="14" width="8.625" style="0" customWidth="1"/>
    <col min="15" max="15" width="8.125" style="0" customWidth="1"/>
    <col min="16" max="16" width="8.75390625" style="0" customWidth="1"/>
    <col min="17" max="17" width="7.75390625" style="0" customWidth="1"/>
    <col min="18" max="18" width="8.125" style="0" customWidth="1"/>
    <col min="19" max="19" width="8.625" style="0" customWidth="1"/>
    <col min="20" max="20" width="8.125" style="0" customWidth="1"/>
    <col min="21" max="21" width="8.375" style="0" customWidth="1"/>
    <col min="22" max="22" width="8.00390625" style="0" customWidth="1"/>
    <col min="23" max="23" width="9.25390625" style="0" customWidth="1"/>
    <col min="24" max="24" width="9.875" style="0" customWidth="1"/>
  </cols>
  <sheetData>
    <row r="1" spans="2:29" ht="12.75" customHeight="1">
      <c r="B1" s="93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93" t="s">
        <v>58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3"/>
      <c r="Z3" s="3"/>
      <c r="AA3" s="3"/>
      <c r="AB3" s="3"/>
      <c r="AC3" s="3"/>
    </row>
    <row r="4" spans="2:29" ht="15" customHeight="1">
      <c r="B4" s="91" t="s">
        <v>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2"/>
      <c r="Z4" s="2"/>
      <c r="AA4" s="2"/>
      <c r="AB4" s="2"/>
      <c r="AC4" s="2"/>
    </row>
    <row r="5" spans="2:29" ht="16.5" customHeight="1" thickBot="1">
      <c r="B5" s="91" t="s">
        <v>42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2"/>
      <c r="Z5" s="2"/>
      <c r="AA5" s="2"/>
      <c r="AB5" s="2"/>
      <c r="AC5" s="2"/>
    </row>
    <row r="6" spans="1:29" ht="33.75" customHeight="1" thickBot="1">
      <c r="A6" s="44" t="s">
        <v>26</v>
      </c>
      <c r="B6" s="35" t="s">
        <v>5</v>
      </c>
      <c r="C6" s="47" t="s">
        <v>45</v>
      </c>
      <c r="D6" s="56" t="s">
        <v>46</v>
      </c>
      <c r="E6" s="56" t="s">
        <v>50</v>
      </c>
      <c r="F6" s="56" t="s">
        <v>57</v>
      </c>
      <c r="G6" s="56" t="s">
        <v>59</v>
      </c>
      <c r="H6" s="56" t="s">
        <v>61</v>
      </c>
      <c r="I6" s="56" t="s">
        <v>66</v>
      </c>
      <c r="J6" s="56" t="s">
        <v>67</v>
      </c>
      <c r="K6" s="6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21</v>
      </c>
      <c r="V6" s="17" t="s">
        <v>20</v>
      </c>
      <c r="W6" s="56" t="s">
        <v>76</v>
      </c>
      <c r="X6" s="24" t="s">
        <v>77</v>
      </c>
      <c r="Y6" s="1"/>
      <c r="Z6" s="1"/>
      <c r="AA6" s="1"/>
      <c r="AB6" s="1"/>
      <c r="AC6" s="1"/>
    </row>
    <row r="7" spans="1:24" ht="13.5" thickBot="1">
      <c r="A7" s="45" t="s">
        <v>27</v>
      </c>
      <c r="B7" s="36" t="s">
        <v>1</v>
      </c>
      <c r="C7" s="62">
        <v>88509.52</v>
      </c>
      <c r="D7" s="66">
        <v>106614.24</v>
      </c>
      <c r="E7" s="62">
        <v>108625.92</v>
      </c>
      <c r="F7" s="62">
        <v>108717</v>
      </c>
      <c r="G7" s="76">
        <v>108726.32</v>
      </c>
      <c r="H7" s="62">
        <v>108737.76</v>
      </c>
      <c r="I7" s="62">
        <v>108737.76</v>
      </c>
      <c r="J7" s="62">
        <v>108737.76</v>
      </c>
      <c r="K7" s="7">
        <v>9061.48</v>
      </c>
      <c r="L7" s="8">
        <v>9061.48</v>
      </c>
      <c r="M7" s="8">
        <v>9061.48</v>
      </c>
      <c r="N7" s="8">
        <v>9061.48</v>
      </c>
      <c r="O7" s="8">
        <v>9061.48</v>
      </c>
      <c r="P7" s="8">
        <v>9061.48</v>
      </c>
      <c r="Q7" s="8">
        <v>9061.48</v>
      </c>
      <c r="R7" s="8">
        <v>9061.48</v>
      </c>
      <c r="S7" s="8">
        <v>9061.48</v>
      </c>
      <c r="T7" s="8">
        <v>9061.48</v>
      </c>
      <c r="U7" s="8">
        <v>9061.48</v>
      </c>
      <c r="V7" s="8">
        <v>9061.48</v>
      </c>
      <c r="W7" s="57">
        <f>SUM(K7:V7)</f>
        <v>108737.75999999997</v>
      </c>
      <c r="X7" s="54">
        <f>SUM(C7:V7)</f>
        <v>956144.0399999998</v>
      </c>
    </row>
    <row r="8" spans="1:24" ht="13.5" thickBot="1">
      <c r="A8" s="45"/>
      <c r="B8" s="36" t="s">
        <v>68</v>
      </c>
      <c r="C8" s="76"/>
      <c r="D8" s="66"/>
      <c r="E8" s="76"/>
      <c r="F8" s="76"/>
      <c r="G8" s="76"/>
      <c r="H8" s="76"/>
      <c r="I8" s="76"/>
      <c r="J8" s="76">
        <v>10156.74</v>
      </c>
      <c r="K8" s="7">
        <f aca="true" t="shared" si="0" ref="K8:P8">1073.05+41.06+36.3</f>
        <v>1150.4099999999999</v>
      </c>
      <c r="L8" s="8">
        <f t="shared" si="0"/>
        <v>1150.4099999999999</v>
      </c>
      <c r="M8" s="8">
        <f t="shared" si="0"/>
        <v>1150.4099999999999</v>
      </c>
      <c r="N8" s="8">
        <f t="shared" si="0"/>
        <v>1150.4099999999999</v>
      </c>
      <c r="O8" s="8">
        <f t="shared" si="0"/>
        <v>1150.4099999999999</v>
      </c>
      <c r="P8" s="8">
        <f t="shared" si="0"/>
        <v>1150.4099999999999</v>
      </c>
      <c r="Q8" s="8">
        <f>1126.25+41.31+36.58</f>
        <v>1204.1399999999999</v>
      </c>
      <c r="R8" s="8">
        <f>41.31+36.58</f>
        <v>77.89</v>
      </c>
      <c r="S8" s="8">
        <f>41.31+36.58</f>
        <v>77.89</v>
      </c>
      <c r="T8" s="8">
        <f>41.31+36.58</f>
        <v>77.89</v>
      </c>
      <c r="U8" s="8">
        <f>41.31+36.58</f>
        <v>77.89</v>
      </c>
      <c r="V8" s="8">
        <f>41.31+36.58</f>
        <v>77.89</v>
      </c>
      <c r="W8" s="57">
        <f>SUM(K8:V8)</f>
        <v>8496.049999999997</v>
      </c>
      <c r="X8" s="54">
        <f>SUM(C8:V8)</f>
        <v>18652.789999999994</v>
      </c>
    </row>
    <row r="9" spans="1:24" s="84" customFormat="1" ht="13.5" thickBot="1">
      <c r="A9" s="78" t="s">
        <v>28</v>
      </c>
      <c r="B9" s="79" t="s">
        <v>2</v>
      </c>
      <c r="C9" s="80">
        <f aca="true" t="shared" si="1" ref="C9:K9">SUM(C10:C24)</f>
        <v>67813.7</v>
      </c>
      <c r="D9" s="81">
        <f t="shared" si="1"/>
        <v>92476.13999999998</v>
      </c>
      <c r="E9" s="80">
        <f t="shared" si="1"/>
        <v>89296.79000000001</v>
      </c>
      <c r="F9" s="80">
        <f t="shared" si="1"/>
        <v>91363.42000000001</v>
      </c>
      <c r="G9" s="80">
        <f t="shared" si="1"/>
        <v>135925.66999999998</v>
      </c>
      <c r="H9" s="80">
        <f>SUM(H10:H24)</f>
        <v>98213.4</v>
      </c>
      <c r="I9" s="80">
        <f>SUM(I10:I24)</f>
        <v>91044.65999999999</v>
      </c>
      <c r="J9" s="80">
        <f>SUM(J10:J24)</f>
        <v>105366.36000000002</v>
      </c>
      <c r="K9" s="82">
        <f t="shared" si="1"/>
        <v>9835.45</v>
      </c>
      <c r="L9" s="82">
        <f aca="true" t="shared" si="2" ref="L9:V9">SUM(L10:L24)</f>
        <v>9097.46</v>
      </c>
      <c r="M9" s="82">
        <f t="shared" si="2"/>
        <v>8865.84</v>
      </c>
      <c r="N9" s="82">
        <f t="shared" si="2"/>
        <v>10544.629999999997</v>
      </c>
      <c r="O9" s="82">
        <f t="shared" si="2"/>
        <v>9502.879999999997</v>
      </c>
      <c r="P9" s="82">
        <f t="shared" si="2"/>
        <v>14238.339999999998</v>
      </c>
      <c r="Q9" s="82">
        <f t="shared" si="2"/>
        <v>9475.31</v>
      </c>
      <c r="R9" s="82">
        <f t="shared" si="2"/>
        <v>8601.48</v>
      </c>
      <c r="S9" s="82">
        <f t="shared" si="2"/>
        <v>7408.7</v>
      </c>
      <c r="T9" s="82">
        <f t="shared" si="2"/>
        <v>9279.21</v>
      </c>
      <c r="U9" s="82">
        <f t="shared" si="2"/>
        <v>8155.66</v>
      </c>
      <c r="V9" s="81">
        <f t="shared" si="2"/>
        <v>11912.74</v>
      </c>
      <c r="W9" s="80">
        <f>SUM(K9:V9)</f>
        <v>116917.7</v>
      </c>
      <c r="X9" s="83">
        <f>SUM(C9:V9)</f>
        <v>888417.8399999999</v>
      </c>
    </row>
    <row r="10" spans="1:24" ht="13.5" thickBot="1">
      <c r="A10" s="45" t="s">
        <v>29</v>
      </c>
      <c r="B10" s="38" t="s">
        <v>4</v>
      </c>
      <c r="C10" s="51">
        <v>14863.57</v>
      </c>
      <c r="D10" s="67">
        <v>18155.51</v>
      </c>
      <c r="E10" s="51">
        <v>19042.03</v>
      </c>
      <c r="F10" s="51">
        <v>19963.58</v>
      </c>
      <c r="G10" s="51">
        <v>21983.4</v>
      </c>
      <c r="H10" s="51">
        <v>22537.59</v>
      </c>
      <c r="I10" s="51">
        <v>22929.27</v>
      </c>
      <c r="J10" s="51">
        <v>22135.15</v>
      </c>
      <c r="K10" s="7">
        <f>1749+68.54</f>
        <v>1817.54</v>
      </c>
      <c r="L10" s="8">
        <f>1749+75.19</f>
        <v>1824.19</v>
      </c>
      <c r="M10" s="8">
        <f>1749+53.39</f>
        <v>1802.39</v>
      </c>
      <c r="N10" s="8">
        <f>1749+150.41</f>
        <v>1899.41</v>
      </c>
      <c r="O10" s="8">
        <f>1855+148.34</f>
        <v>2003.34</v>
      </c>
      <c r="P10" s="8">
        <f>1855+152.36</f>
        <v>2007.3600000000001</v>
      </c>
      <c r="Q10" s="8">
        <f>1855+130.01</f>
        <v>1985.01</v>
      </c>
      <c r="R10" s="8">
        <f>1855+164.37</f>
        <v>2019.37</v>
      </c>
      <c r="S10" s="8">
        <f>1855+122.18</f>
        <v>1977.18</v>
      </c>
      <c r="T10" s="8">
        <f>1855+99.14</f>
        <v>1954.14</v>
      </c>
      <c r="U10" s="8">
        <f>1855+115.09</f>
        <v>1970.09</v>
      </c>
      <c r="V10" s="18">
        <f>1855+105.78</f>
        <v>1960.78</v>
      </c>
      <c r="W10" s="55">
        <f aca="true" t="shared" si="3" ref="W10:W26">SUM(K10:V10)</f>
        <v>23220.8</v>
      </c>
      <c r="X10" s="33">
        <f aca="true" t="shared" si="4" ref="X10:X24">SUM(C10:V10)</f>
        <v>184830.9</v>
      </c>
    </row>
    <row r="11" spans="1:24" ht="15" customHeight="1" thickBot="1">
      <c r="A11" s="45" t="s">
        <v>30</v>
      </c>
      <c r="B11" s="39" t="s">
        <v>62</v>
      </c>
      <c r="C11" s="52">
        <v>19671.13</v>
      </c>
      <c r="D11" s="68">
        <v>8804.3</v>
      </c>
      <c r="E11" s="52">
        <f>2945.58+1260</f>
        <v>4205.58</v>
      </c>
      <c r="F11" s="52">
        <v>1688.47</v>
      </c>
      <c r="G11" s="52">
        <f>480+1200</f>
        <v>1680</v>
      </c>
      <c r="H11" s="52">
        <v>2527.48</v>
      </c>
      <c r="I11" s="52">
        <v>59.54</v>
      </c>
      <c r="J11" s="52">
        <v>329.2</v>
      </c>
      <c r="K11" s="9">
        <v>700</v>
      </c>
      <c r="L11" s="10"/>
      <c r="M11" s="10"/>
      <c r="N11" s="10">
        <v>1646</v>
      </c>
      <c r="O11" s="10">
        <v>546</v>
      </c>
      <c r="P11" s="10"/>
      <c r="Q11" s="10"/>
      <c r="R11" s="10"/>
      <c r="S11" s="10"/>
      <c r="T11" s="10"/>
      <c r="U11" s="10"/>
      <c r="V11" s="19">
        <f>3520</f>
        <v>3520</v>
      </c>
      <c r="W11" s="55">
        <f t="shared" si="3"/>
        <v>6412</v>
      </c>
      <c r="X11" s="33">
        <f t="shared" si="4"/>
        <v>45377.700000000004</v>
      </c>
    </row>
    <row r="12" spans="1:24" ht="15.75" customHeight="1" thickBot="1">
      <c r="A12" s="45" t="s">
        <v>31</v>
      </c>
      <c r="B12" s="37" t="s">
        <v>47</v>
      </c>
      <c r="C12" s="52">
        <v>0</v>
      </c>
      <c r="D12" s="68">
        <v>1095.89</v>
      </c>
      <c r="E12" s="52">
        <v>0</v>
      </c>
      <c r="F12" s="52">
        <v>0</v>
      </c>
      <c r="G12" s="52"/>
      <c r="H12" s="52">
        <v>1200</v>
      </c>
      <c r="I12" s="52">
        <v>600</v>
      </c>
      <c r="J12" s="52">
        <v>1500</v>
      </c>
      <c r="K12" s="9"/>
      <c r="L12" s="10"/>
      <c r="M12" s="10"/>
      <c r="N12" s="10"/>
      <c r="O12" s="10"/>
      <c r="P12" s="10"/>
      <c r="Q12" s="10"/>
      <c r="R12" s="10"/>
      <c r="S12" s="10"/>
      <c r="T12" s="10">
        <v>1500</v>
      </c>
      <c r="U12" s="10"/>
      <c r="V12" s="19"/>
      <c r="W12" s="55">
        <f t="shared" si="3"/>
        <v>1500</v>
      </c>
      <c r="X12" s="33">
        <f t="shared" si="4"/>
        <v>5895.89</v>
      </c>
    </row>
    <row r="13" spans="1:24" ht="22.5" customHeight="1" thickBot="1">
      <c r="A13" s="45" t="s">
        <v>75</v>
      </c>
      <c r="B13" s="37" t="s">
        <v>72</v>
      </c>
      <c r="C13" s="52"/>
      <c r="D13" s="68"/>
      <c r="E13" s="52"/>
      <c r="F13" s="52"/>
      <c r="G13" s="52"/>
      <c r="H13" s="52"/>
      <c r="I13" s="52"/>
      <c r="J13" s="52">
        <v>4295.5</v>
      </c>
      <c r="K13" s="9"/>
      <c r="L13" s="10"/>
      <c r="M13" s="10"/>
      <c r="N13" s="10"/>
      <c r="O13" s="10"/>
      <c r="P13" s="10">
        <v>5368.9</v>
      </c>
      <c r="Q13" s="10"/>
      <c r="R13" s="10"/>
      <c r="S13" s="10"/>
      <c r="T13" s="10"/>
      <c r="U13" s="10"/>
      <c r="V13" s="19"/>
      <c r="W13" s="55">
        <f>SUM(K13:V13)</f>
        <v>5368.9</v>
      </c>
      <c r="X13" s="33">
        <f>SUM(C13:V13)</f>
        <v>9664.4</v>
      </c>
    </row>
    <row r="14" spans="1:24" ht="15.75" customHeight="1" thickBot="1">
      <c r="A14" s="45" t="s">
        <v>32</v>
      </c>
      <c r="B14" s="39" t="s">
        <v>56</v>
      </c>
      <c r="C14" s="52">
        <v>4117.25</v>
      </c>
      <c r="D14" s="68">
        <v>8664.75</v>
      </c>
      <c r="E14" s="52">
        <v>3530.56</v>
      </c>
      <c r="F14" s="52">
        <v>6785.84</v>
      </c>
      <c r="G14" s="52">
        <v>50366.64</v>
      </c>
      <c r="H14" s="52">
        <v>2491.73</v>
      </c>
      <c r="I14" s="52">
        <v>1519.14</v>
      </c>
      <c r="J14" s="52">
        <v>541.54</v>
      </c>
      <c r="K14" s="9"/>
      <c r="L14" s="10">
        <v>60</v>
      </c>
      <c r="M14" s="10">
        <v>45</v>
      </c>
      <c r="N14" s="10"/>
      <c r="O14" s="10">
        <v>134.4</v>
      </c>
      <c r="P14" s="10"/>
      <c r="Q14" s="10">
        <v>231.35</v>
      </c>
      <c r="R14" s="10">
        <v>676</v>
      </c>
      <c r="S14" s="10"/>
      <c r="T14" s="10"/>
      <c r="U14" s="10"/>
      <c r="V14" s="19"/>
      <c r="W14" s="55">
        <f t="shared" si="3"/>
        <v>1146.75</v>
      </c>
      <c r="X14" s="33">
        <f t="shared" si="4"/>
        <v>79164.2</v>
      </c>
    </row>
    <row r="15" spans="1:24" ht="23.25" customHeight="1" thickBot="1">
      <c r="A15" s="45" t="s">
        <v>33</v>
      </c>
      <c r="B15" s="39" t="s">
        <v>51</v>
      </c>
      <c r="C15" s="52">
        <v>0</v>
      </c>
      <c r="D15" s="68">
        <v>0</v>
      </c>
      <c r="E15" s="52">
        <v>256</v>
      </c>
      <c r="F15" s="52">
        <v>0</v>
      </c>
      <c r="G15" s="52">
        <v>17.93</v>
      </c>
      <c r="H15" s="52">
        <v>52.96</v>
      </c>
      <c r="I15" s="52">
        <v>186</v>
      </c>
      <c r="J15" s="52">
        <v>169.78</v>
      </c>
      <c r="K15" s="9">
        <v>14</v>
      </c>
      <c r="L15" s="10">
        <v>78</v>
      </c>
      <c r="M15" s="10"/>
      <c r="N15" s="10"/>
      <c r="O15" s="10"/>
      <c r="P15" s="10"/>
      <c r="Q15" s="10"/>
      <c r="R15" s="10"/>
      <c r="S15" s="10"/>
      <c r="T15" s="10"/>
      <c r="U15" s="10"/>
      <c r="V15" s="19"/>
      <c r="W15" s="55">
        <f t="shared" si="3"/>
        <v>92</v>
      </c>
      <c r="X15" s="33">
        <f t="shared" si="4"/>
        <v>774.67</v>
      </c>
    </row>
    <row r="16" spans="1:24" ht="12" customHeight="1" thickBot="1">
      <c r="A16" s="45" t="s">
        <v>34</v>
      </c>
      <c r="B16" s="39" t="s">
        <v>69</v>
      </c>
      <c r="C16" s="52">
        <v>2441.65</v>
      </c>
      <c r="D16" s="68">
        <v>2905.56</v>
      </c>
      <c r="E16" s="52">
        <v>2009.34</v>
      </c>
      <c r="F16" s="52">
        <v>0</v>
      </c>
      <c r="G16" s="52"/>
      <c r="H16" s="52">
        <v>0</v>
      </c>
      <c r="I16" s="52">
        <v>0</v>
      </c>
      <c r="J16" s="52">
        <v>9511.57</v>
      </c>
      <c r="K16" s="9">
        <v>1073.05</v>
      </c>
      <c r="L16" s="9">
        <v>1073.05</v>
      </c>
      <c r="M16" s="9">
        <v>1073.05</v>
      </c>
      <c r="N16" s="9">
        <v>1073.05</v>
      </c>
      <c r="O16" s="9">
        <v>1073.05</v>
      </c>
      <c r="P16" s="9">
        <v>1073.05</v>
      </c>
      <c r="Q16" s="10">
        <v>1126.25</v>
      </c>
      <c r="R16" s="10"/>
      <c r="S16" s="10"/>
      <c r="T16" s="10"/>
      <c r="U16" s="10"/>
      <c r="V16" s="19"/>
      <c r="W16" s="55">
        <f t="shared" si="3"/>
        <v>7564.55</v>
      </c>
      <c r="X16" s="33">
        <f t="shared" si="4"/>
        <v>24432.669999999995</v>
      </c>
    </row>
    <row r="17" spans="1:24" ht="12" customHeight="1" thickBot="1">
      <c r="A17" s="45"/>
      <c r="B17" s="39" t="s">
        <v>70</v>
      </c>
      <c r="C17" s="52"/>
      <c r="D17" s="68"/>
      <c r="E17" s="52"/>
      <c r="F17" s="52"/>
      <c r="G17" s="52"/>
      <c r="H17" s="52"/>
      <c r="I17" s="52"/>
      <c r="J17" s="52">
        <v>3738.91</v>
      </c>
      <c r="K17" s="9">
        <v>41.07</v>
      </c>
      <c r="L17" s="9">
        <v>41.07</v>
      </c>
      <c r="M17" s="9">
        <v>41.07</v>
      </c>
      <c r="N17" s="9">
        <v>41.07</v>
      </c>
      <c r="O17" s="9">
        <v>41.07</v>
      </c>
      <c r="P17" s="9">
        <v>41.07</v>
      </c>
      <c r="Q17" s="10">
        <v>41.32</v>
      </c>
      <c r="R17" s="10">
        <v>41.32</v>
      </c>
      <c r="S17" s="10">
        <v>41.32</v>
      </c>
      <c r="T17" s="10">
        <v>41.32</v>
      </c>
      <c r="U17" s="10">
        <v>41.32</v>
      </c>
      <c r="V17" s="10">
        <v>41.32</v>
      </c>
      <c r="W17" s="55">
        <f>SUM(K17:V17)</f>
        <v>494.34</v>
      </c>
      <c r="X17" s="33">
        <f>SUM(C17:V17)</f>
        <v>4233.25</v>
      </c>
    </row>
    <row r="18" spans="1:24" ht="12" customHeight="1" thickBot="1">
      <c r="A18" s="45"/>
      <c r="B18" s="39" t="s">
        <v>71</v>
      </c>
      <c r="C18" s="52"/>
      <c r="D18" s="68"/>
      <c r="E18" s="52"/>
      <c r="F18" s="52"/>
      <c r="G18" s="52"/>
      <c r="H18" s="52"/>
      <c r="I18" s="52"/>
      <c r="J18" s="52">
        <v>253.03</v>
      </c>
      <c r="K18" s="9">
        <v>36.27</v>
      </c>
      <c r="L18" s="9">
        <v>36.27</v>
      </c>
      <c r="M18" s="9">
        <v>36.27</v>
      </c>
      <c r="N18" s="9">
        <v>36.27</v>
      </c>
      <c r="O18" s="9">
        <v>36.27</v>
      </c>
      <c r="P18" s="9">
        <v>36.27</v>
      </c>
      <c r="Q18" s="10">
        <v>36.58</v>
      </c>
      <c r="R18" s="10">
        <v>36.58</v>
      </c>
      <c r="S18" s="10">
        <v>36.58</v>
      </c>
      <c r="T18" s="10">
        <v>36.58</v>
      </c>
      <c r="U18" s="10">
        <v>36.58</v>
      </c>
      <c r="V18" s="10">
        <v>36.58</v>
      </c>
      <c r="W18" s="55">
        <f>SUM(K18:V18)</f>
        <v>437.09999999999997</v>
      </c>
      <c r="X18" s="33">
        <f>SUM(C18:V18)</f>
        <v>690.1300000000001</v>
      </c>
    </row>
    <row r="19" spans="1:24" ht="11.25" customHeight="1" thickBot="1">
      <c r="A19" s="45" t="s">
        <v>35</v>
      </c>
      <c r="B19" s="39" t="s">
        <v>73</v>
      </c>
      <c r="C19" s="52">
        <v>693.35</v>
      </c>
      <c r="D19" s="68">
        <v>343.49</v>
      </c>
      <c r="E19" s="52">
        <v>358.95</v>
      </c>
      <c r="F19" s="52">
        <v>315.66</v>
      </c>
      <c r="G19" s="52"/>
      <c r="H19" s="52">
        <v>0</v>
      </c>
      <c r="I19" s="52">
        <v>0</v>
      </c>
      <c r="J19" s="52">
        <v>0</v>
      </c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9"/>
      <c r="W19" s="55">
        <f t="shared" si="3"/>
        <v>0</v>
      </c>
      <c r="X19" s="33">
        <f t="shared" si="4"/>
        <v>1711.4500000000003</v>
      </c>
    </row>
    <row r="20" spans="1:24" ht="27.75" customHeight="1" thickBot="1">
      <c r="A20" s="45" t="s">
        <v>36</v>
      </c>
      <c r="B20" s="39" t="s">
        <v>74</v>
      </c>
      <c r="C20" s="52">
        <v>1191.14</v>
      </c>
      <c r="D20" s="68">
        <v>4246.66</v>
      </c>
      <c r="E20" s="52">
        <v>5990.13</v>
      </c>
      <c r="F20" s="52">
        <v>5369</v>
      </c>
      <c r="G20" s="52">
        <v>3567.19</v>
      </c>
      <c r="H20" s="52">
        <v>4207.64</v>
      </c>
      <c r="I20" s="52">
        <v>4449.48</v>
      </c>
      <c r="J20" s="52">
        <v>4520.49</v>
      </c>
      <c r="K20" s="9">
        <v>394.29</v>
      </c>
      <c r="L20" s="10">
        <v>361.71</v>
      </c>
      <c r="M20" s="10">
        <v>482.39</v>
      </c>
      <c r="N20" s="10">
        <v>376.16</v>
      </c>
      <c r="O20" s="10">
        <v>316.38</v>
      </c>
      <c r="P20" s="10">
        <v>458.56</v>
      </c>
      <c r="Q20" s="10">
        <v>373.01</v>
      </c>
      <c r="R20" s="10">
        <v>381.46</v>
      </c>
      <c r="S20" s="10">
        <v>313.51</v>
      </c>
      <c r="T20" s="10">
        <v>470.61</v>
      </c>
      <c r="U20" s="10">
        <v>416.06</v>
      </c>
      <c r="V20" s="19">
        <v>406.29</v>
      </c>
      <c r="W20" s="55">
        <f t="shared" si="3"/>
        <v>4750.43</v>
      </c>
      <c r="X20" s="33">
        <f t="shared" si="4"/>
        <v>38292.159999999996</v>
      </c>
    </row>
    <row r="21" spans="1:24" ht="24" customHeight="1" thickBot="1">
      <c r="A21" s="45" t="s">
        <v>52</v>
      </c>
      <c r="B21" s="39" t="s">
        <v>63</v>
      </c>
      <c r="C21" s="52">
        <v>2105.64</v>
      </c>
      <c r="D21" s="68">
        <v>2586.88</v>
      </c>
      <c r="E21" s="52">
        <v>693.42</v>
      </c>
      <c r="F21" s="52">
        <v>493.36</v>
      </c>
      <c r="G21" s="52">
        <v>1073.08</v>
      </c>
      <c r="H21" s="52">
        <v>725.15</v>
      </c>
      <c r="I21" s="52">
        <v>632.98</v>
      </c>
      <c r="J21" s="52">
        <v>494.47</v>
      </c>
      <c r="K21" s="9">
        <v>38.97</v>
      </c>
      <c r="L21" s="10">
        <f>26.16</f>
        <v>26.16</v>
      </c>
      <c r="M21" s="10">
        <v>18.58</v>
      </c>
      <c r="N21" s="10">
        <v>26.11</v>
      </c>
      <c r="O21" s="10">
        <v>24.24</v>
      </c>
      <c r="P21" s="10">
        <v>28.81</v>
      </c>
      <c r="Q21" s="10">
        <v>88.4</v>
      </c>
      <c r="R21" s="10">
        <v>22.63</v>
      </c>
      <c r="S21" s="10">
        <v>28.02</v>
      </c>
      <c r="T21" s="10">
        <v>24.27</v>
      </c>
      <c r="U21" s="10">
        <v>116.04</v>
      </c>
      <c r="V21" s="19">
        <v>36.89</v>
      </c>
      <c r="W21" s="55">
        <f t="shared" si="3"/>
        <v>479.12</v>
      </c>
      <c r="X21" s="33">
        <f t="shared" si="4"/>
        <v>9284.099999999999</v>
      </c>
    </row>
    <row r="22" spans="1:24" ht="36.75" customHeight="1" thickBot="1">
      <c r="A22" s="45" t="s">
        <v>53</v>
      </c>
      <c r="B22" s="39" t="s">
        <v>65</v>
      </c>
      <c r="C22" s="52">
        <v>686.14</v>
      </c>
      <c r="D22" s="68">
        <v>3928.58</v>
      </c>
      <c r="E22" s="52">
        <v>3604.51</v>
      </c>
      <c r="F22" s="52">
        <v>4839.68</v>
      </c>
      <c r="G22" s="52">
        <v>4161.06</v>
      </c>
      <c r="H22" s="52">
        <v>5395.98</v>
      </c>
      <c r="I22" s="52">
        <v>4630.03</v>
      </c>
      <c r="J22" s="52">
        <v>4876.82</v>
      </c>
      <c r="K22" s="9">
        <f>19.5+139.49+215.49</f>
        <v>374.48</v>
      </c>
      <c r="L22" s="10">
        <f>204.59+21.37+188.71</f>
        <v>414.67</v>
      </c>
      <c r="M22" s="10">
        <f>207.22+21.19+204.79</f>
        <v>433.2</v>
      </c>
      <c r="N22" s="10">
        <f>219.29+21.47+159.54</f>
        <v>400.29999999999995</v>
      </c>
      <c r="O22" s="10">
        <f>264.67+19.29+124.5</f>
        <v>408.46000000000004</v>
      </c>
      <c r="P22" s="10">
        <f>212.56+18.1+118.8</f>
        <v>349.46</v>
      </c>
      <c r="Q22" s="10">
        <f>20.36+138.05+268.23</f>
        <v>426.64000000000004</v>
      </c>
      <c r="R22" s="10">
        <f>21.62+209.8+207.94</f>
        <v>439.36</v>
      </c>
      <c r="S22" s="10">
        <f>242.27+17.01+162.25</f>
        <v>421.53000000000003</v>
      </c>
      <c r="T22" s="10">
        <f>22.71+291.98+236.17</f>
        <v>550.86</v>
      </c>
      <c r="U22" s="10">
        <f>18.61+162.87+338.33</f>
        <v>519.81</v>
      </c>
      <c r="V22" s="19">
        <f>307.21+21.52+275.63</f>
        <v>604.3599999999999</v>
      </c>
      <c r="W22" s="55">
        <f t="shared" si="3"/>
        <v>5343.13</v>
      </c>
      <c r="X22" s="33">
        <f t="shared" si="4"/>
        <v>37465.92999999999</v>
      </c>
    </row>
    <row r="23" spans="1:24" ht="15.75" customHeight="1" thickBot="1">
      <c r="A23" s="45" t="s">
        <v>54</v>
      </c>
      <c r="B23" s="39" t="s">
        <v>8</v>
      </c>
      <c r="C23" s="52">
        <v>18999.41</v>
      </c>
      <c r="D23" s="68">
        <v>35903.95</v>
      </c>
      <c r="E23" s="52">
        <v>45276.15</v>
      </c>
      <c r="F23" s="52">
        <v>47815.12</v>
      </c>
      <c r="G23" s="52">
        <v>48950.94</v>
      </c>
      <c r="H23" s="52">
        <v>55003.96</v>
      </c>
      <c r="I23" s="52">
        <v>51932.27</v>
      </c>
      <c r="J23" s="52">
        <v>48518.9</v>
      </c>
      <c r="K23" s="9">
        <f>9835.45-4856.21</f>
        <v>4979.240000000001</v>
      </c>
      <c r="L23" s="10">
        <f>9097.46-4319.91</f>
        <v>4777.549999999999</v>
      </c>
      <c r="M23" s="10">
        <f>8865.84-4317.55</f>
        <v>4548.29</v>
      </c>
      <c r="N23" s="10">
        <f>10544.63-5852.17</f>
        <v>4692.459999999999</v>
      </c>
      <c r="O23" s="10">
        <f>9502.88-4957.01</f>
        <v>4545.869999999999</v>
      </c>
      <c r="P23" s="10">
        <f>14238.34-9722.3</f>
        <v>4516.040000000001</v>
      </c>
      <c r="Q23" s="10">
        <f>9475.31-4722.34</f>
        <v>4752.969999999999</v>
      </c>
      <c r="R23" s="10">
        <f>8601.48-4026.55</f>
        <v>4574.929999999999</v>
      </c>
      <c r="S23" s="10">
        <f>7408.7-3147.79</f>
        <v>4260.91</v>
      </c>
      <c r="T23" s="10">
        <f>9279.21-4938.53</f>
        <v>4340.679999999999</v>
      </c>
      <c r="U23" s="10">
        <f>8155.66-3445</f>
        <v>4710.66</v>
      </c>
      <c r="V23" s="19">
        <f>11912.79-6935.64-0.05</f>
        <v>4977.1</v>
      </c>
      <c r="W23" s="55">
        <f t="shared" si="3"/>
        <v>55676.69999999999</v>
      </c>
      <c r="X23" s="33">
        <f t="shared" si="4"/>
        <v>408077.39999999985</v>
      </c>
    </row>
    <row r="24" spans="1:24" ht="13.5" customHeight="1" thickBot="1">
      <c r="A24" s="45" t="s">
        <v>55</v>
      </c>
      <c r="B24" s="40" t="s">
        <v>3</v>
      </c>
      <c r="C24" s="53">
        <v>3044.42</v>
      </c>
      <c r="D24" s="69">
        <v>5840.57</v>
      </c>
      <c r="E24" s="53">
        <v>4330.12</v>
      </c>
      <c r="F24" s="53">
        <v>4092.71</v>
      </c>
      <c r="G24" s="53">
        <v>4125.43</v>
      </c>
      <c r="H24" s="53">
        <v>4070.91</v>
      </c>
      <c r="I24" s="53">
        <v>4105.95</v>
      </c>
      <c r="J24" s="53">
        <v>4481</v>
      </c>
      <c r="K24" s="11">
        <f>41.29+325.25</f>
        <v>366.54</v>
      </c>
      <c r="L24" s="12">
        <f>45.94+358.85</f>
        <v>404.79</v>
      </c>
      <c r="M24" s="12">
        <f>43.44+342.16</f>
        <v>385.6</v>
      </c>
      <c r="N24" s="12">
        <f>42.11+311.69</f>
        <v>353.8</v>
      </c>
      <c r="O24" s="12">
        <f>42.11+331.69</f>
        <v>373.8</v>
      </c>
      <c r="P24" s="12">
        <f>40.42+318.4</f>
        <v>358.82</v>
      </c>
      <c r="Q24" s="12">
        <f>46.61+367.17</f>
        <v>413.78000000000003</v>
      </c>
      <c r="R24" s="12">
        <f>47.97+361.86</f>
        <v>409.83000000000004</v>
      </c>
      <c r="S24" s="12">
        <f>2.81+326.84</f>
        <v>329.65</v>
      </c>
      <c r="T24" s="12">
        <f>3.1+357.65</f>
        <v>360.75</v>
      </c>
      <c r="U24" s="12">
        <f>2.94+342.16</f>
        <v>345.1</v>
      </c>
      <c r="V24" s="21">
        <f>2.81+326.61</f>
        <v>329.42</v>
      </c>
      <c r="W24" s="55">
        <f t="shared" si="3"/>
        <v>4431.88</v>
      </c>
      <c r="X24" s="33">
        <f t="shared" si="4"/>
        <v>38522.990000000005</v>
      </c>
    </row>
    <row r="25" spans="1:24" ht="13.5" customHeight="1" thickBot="1">
      <c r="A25" s="45"/>
      <c r="B25" s="42" t="s">
        <v>60</v>
      </c>
      <c r="C25" s="61"/>
      <c r="D25" s="70"/>
      <c r="E25" s="61"/>
      <c r="F25" s="61"/>
      <c r="G25" s="72">
        <f>G7*5%</f>
        <v>5436.316000000001</v>
      </c>
      <c r="H25" s="72">
        <f>H7*5%</f>
        <v>5436.888</v>
      </c>
      <c r="I25" s="77">
        <f>I7*5%</f>
        <v>5436.888</v>
      </c>
      <c r="J25" s="77">
        <f>J7*5%</f>
        <v>5436.888</v>
      </c>
      <c r="K25" s="71">
        <f>K7*5%</f>
        <v>453.074</v>
      </c>
      <c r="L25" s="71">
        <f aca="true" t="shared" si="5" ref="L25:V25">L7*5%</f>
        <v>453.074</v>
      </c>
      <c r="M25" s="71">
        <f t="shared" si="5"/>
        <v>453.074</v>
      </c>
      <c r="N25" s="71">
        <f t="shared" si="5"/>
        <v>453.074</v>
      </c>
      <c r="O25" s="71">
        <f t="shared" si="5"/>
        <v>453.074</v>
      </c>
      <c r="P25" s="71">
        <f t="shared" si="5"/>
        <v>453.074</v>
      </c>
      <c r="Q25" s="71">
        <f t="shared" si="5"/>
        <v>453.074</v>
      </c>
      <c r="R25" s="71">
        <f t="shared" si="5"/>
        <v>453.074</v>
      </c>
      <c r="S25" s="71">
        <f t="shared" si="5"/>
        <v>453.074</v>
      </c>
      <c r="T25" s="71">
        <f t="shared" si="5"/>
        <v>453.074</v>
      </c>
      <c r="U25" s="71">
        <f t="shared" si="5"/>
        <v>453.074</v>
      </c>
      <c r="V25" s="71">
        <f t="shared" si="5"/>
        <v>453.074</v>
      </c>
      <c r="W25" s="72">
        <f t="shared" si="3"/>
        <v>5436.887999999999</v>
      </c>
      <c r="X25" s="33"/>
    </row>
    <row r="26" spans="1:24" ht="14.25" customHeight="1" thickBot="1">
      <c r="A26" s="45" t="s">
        <v>37</v>
      </c>
      <c r="B26" s="42" t="s">
        <v>49</v>
      </c>
      <c r="C26" s="61"/>
      <c r="D26" s="70"/>
      <c r="E26" s="61"/>
      <c r="F26" s="61"/>
      <c r="G26" s="61"/>
      <c r="H26" s="61"/>
      <c r="I26" s="61"/>
      <c r="J26" s="72">
        <f aca="true" t="shared" si="6" ref="J26:V26">SUM(J7+J8-J9)-J25</f>
        <v>8091.251999999985</v>
      </c>
      <c r="K26" s="73">
        <f t="shared" si="6"/>
        <v>-76.63400000000132</v>
      </c>
      <c r="L26" s="73">
        <f t="shared" si="6"/>
        <v>661.3560000000002</v>
      </c>
      <c r="M26" s="73">
        <f t="shared" si="6"/>
        <v>892.9759999999992</v>
      </c>
      <c r="N26" s="73">
        <f t="shared" si="6"/>
        <v>-785.813999999998</v>
      </c>
      <c r="O26" s="73">
        <f t="shared" si="6"/>
        <v>255.93600000000202</v>
      </c>
      <c r="P26" s="73">
        <f t="shared" si="6"/>
        <v>-4479.5239999999985</v>
      </c>
      <c r="Q26" s="73">
        <f t="shared" si="6"/>
        <v>337.2359999999995</v>
      </c>
      <c r="R26" s="73">
        <f t="shared" si="6"/>
        <v>84.8159999999994</v>
      </c>
      <c r="S26" s="73">
        <f t="shared" si="6"/>
        <v>1277.595999999999</v>
      </c>
      <c r="T26" s="73">
        <f t="shared" si="6"/>
        <v>-592.9140000000002</v>
      </c>
      <c r="U26" s="73">
        <f t="shared" si="6"/>
        <v>530.6359999999991</v>
      </c>
      <c r="V26" s="73">
        <f t="shared" si="6"/>
        <v>-3226.444000000001</v>
      </c>
      <c r="W26" s="72">
        <f t="shared" si="3"/>
        <v>-5120.778</v>
      </c>
      <c r="X26" s="33"/>
    </row>
    <row r="27" spans="1:24" ht="27.75" customHeight="1" thickBot="1">
      <c r="A27" s="78" t="s">
        <v>38</v>
      </c>
      <c r="B27" s="85" t="s">
        <v>22</v>
      </c>
      <c r="C27" s="86">
        <v>20695.82</v>
      </c>
      <c r="D27" s="81">
        <f>SUM(D7-D9)</f>
        <v>14138.10000000002</v>
      </c>
      <c r="E27" s="80">
        <f>SUM(E7-E9)</f>
        <v>19329.12999999999</v>
      </c>
      <c r="F27" s="80">
        <f>SUM(F7-F9)</f>
        <v>17353.579999999987</v>
      </c>
      <c r="G27" s="87">
        <f>SUM(G7-G9)-G25</f>
        <v>-32635.665999999976</v>
      </c>
      <c r="H27" s="87">
        <f>SUM(H7-H9)-H25</f>
        <v>5087.472000000001</v>
      </c>
      <c r="I27" s="87">
        <f>SUM(I7-I9)-I25</f>
        <v>12256.212000000007</v>
      </c>
      <c r="J27" s="87">
        <f>SUM(J7+J8-J9)-J25</f>
        <v>8091.251999999985</v>
      </c>
      <c r="K27" s="88">
        <f>SUM(K7+K8-K9)-K25</f>
        <v>-76.63400000000132</v>
      </c>
      <c r="L27" s="89">
        <f>SUM(L26+K27)</f>
        <v>584.7219999999988</v>
      </c>
      <c r="M27" s="89">
        <f aca="true" t="shared" si="7" ref="M27:V27">SUM(M26+L27)</f>
        <v>1477.697999999998</v>
      </c>
      <c r="N27" s="89">
        <f t="shared" si="7"/>
        <v>691.884</v>
      </c>
      <c r="O27" s="89">
        <f t="shared" si="7"/>
        <v>947.820000000002</v>
      </c>
      <c r="P27" s="89">
        <f t="shared" si="7"/>
        <v>-3531.7039999999965</v>
      </c>
      <c r="Q27" s="89">
        <f t="shared" si="7"/>
        <v>-3194.467999999997</v>
      </c>
      <c r="R27" s="89">
        <f t="shared" si="7"/>
        <v>-3109.6519999999978</v>
      </c>
      <c r="S27" s="89">
        <f t="shared" si="7"/>
        <v>-1832.0559999999987</v>
      </c>
      <c r="T27" s="89">
        <f t="shared" si="7"/>
        <v>-2424.969999999999</v>
      </c>
      <c r="U27" s="89">
        <f t="shared" si="7"/>
        <v>-1894.3339999999998</v>
      </c>
      <c r="V27" s="89">
        <f t="shared" si="7"/>
        <v>-5120.778</v>
      </c>
      <c r="W27" s="80"/>
      <c r="X27" s="90"/>
    </row>
    <row r="28" spans="1:24" ht="24" customHeight="1" hidden="1" thickBot="1">
      <c r="A28" s="45" t="s">
        <v>39</v>
      </c>
      <c r="B28" s="41" t="s">
        <v>23</v>
      </c>
      <c r="C28" s="48">
        <v>20695.82</v>
      </c>
      <c r="D28" s="20">
        <f>SUM(D7-D9,C28)</f>
        <v>34833.92000000002</v>
      </c>
      <c r="E28" s="55">
        <f>SUM(E7-E9,D28)</f>
        <v>54163.05000000001</v>
      </c>
      <c r="F28" s="55">
        <f>SUM(F7-F9,E28)</f>
        <v>71516.63</v>
      </c>
      <c r="G28" s="75">
        <f>SUM(G27+F28)</f>
        <v>38880.96400000003</v>
      </c>
      <c r="H28" s="75">
        <f>SUM(H27+G28)</f>
        <v>43968.43600000003</v>
      </c>
      <c r="I28" s="75">
        <f>SUM(I27+H28)</f>
        <v>56224.64800000004</v>
      </c>
      <c r="J28" s="75">
        <f>SUM(J27+I28)+0.07</f>
        <v>64315.97000000002</v>
      </c>
      <c r="K28" s="75">
        <f>SUM(K27+J28)</f>
        <v>64239.336000000025</v>
      </c>
      <c r="L28" s="74">
        <f>SUM(L26+K28)</f>
        <v>64900.692000000025</v>
      </c>
      <c r="M28" s="74">
        <f>SUM(M26+L28)</f>
        <v>65793.66800000002</v>
      </c>
      <c r="N28" s="74">
        <f aca="true" t="shared" si="8" ref="N28:U28">SUM(N26+M28)</f>
        <v>65007.85400000002</v>
      </c>
      <c r="O28" s="74">
        <f t="shared" si="8"/>
        <v>65263.79000000002</v>
      </c>
      <c r="P28" s="74">
        <f t="shared" si="8"/>
        <v>60784.266000000025</v>
      </c>
      <c r="Q28" s="74">
        <f t="shared" si="8"/>
        <v>61121.50200000002</v>
      </c>
      <c r="R28" s="74">
        <f t="shared" si="8"/>
        <v>61206.31800000002</v>
      </c>
      <c r="S28" s="74">
        <f t="shared" si="8"/>
        <v>62483.91400000002</v>
      </c>
      <c r="T28" s="74">
        <f t="shared" si="8"/>
        <v>61891.00000000002</v>
      </c>
      <c r="U28" s="74">
        <f t="shared" si="8"/>
        <v>62421.63600000002</v>
      </c>
      <c r="V28" s="74">
        <f>SUM(V26+U28)</f>
        <v>59195.19200000002</v>
      </c>
      <c r="W28" s="55"/>
      <c r="X28" s="33"/>
    </row>
    <row r="29" spans="1:24" ht="10.5" customHeight="1" hidden="1" thickBot="1">
      <c r="A29" s="45" t="s">
        <v>40</v>
      </c>
      <c r="B29" s="41" t="s">
        <v>6</v>
      </c>
      <c r="C29" s="48"/>
      <c r="D29" s="48"/>
      <c r="E29" s="63"/>
      <c r="F29" s="63"/>
      <c r="G29" s="63"/>
      <c r="H29" s="63"/>
      <c r="I29" s="63"/>
      <c r="J29" s="63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22"/>
      <c r="W29" s="55"/>
      <c r="X29" s="26"/>
    </row>
    <row r="30" spans="1:24" ht="15" customHeight="1" hidden="1" thickBot="1">
      <c r="A30" s="46" t="s">
        <v>41</v>
      </c>
      <c r="B30" s="42" t="s">
        <v>24</v>
      </c>
      <c r="C30" s="49"/>
      <c r="D30" s="49"/>
      <c r="E30" s="64"/>
      <c r="F30" s="64"/>
      <c r="G30" s="64"/>
      <c r="H30" s="64"/>
      <c r="I30" s="64"/>
      <c r="J30" s="64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3"/>
      <c r="W30" s="58"/>
      <c r="X30" s="25"/>
    </row>
    <row r="31" spans="1:24" ht="9" customHeight="1" hidden="1" thickBot="1">
      <c r="A31" s="46" t="s">
        <v>43</v>
      </c>
      <c r="B31" s="43" t="s">
        <v>44</v>
      </c>
      <c r="C31" s="50"/>
      <c r="D31" s="50"/>
      <c r="E31" s="65"/>
      <c r="F31" s="65"/>
      <c r="G31" s="65"/>
      <c r="H31" s="65"/>
      <c r="I31" s="65"/>
      <c r="J31" s="65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>
        <f>SUM(V27-V29)</f>
        <v>-5120.778</v>
      </c>
      <c r="W31" s="59"/>
      <c r="X31" s="32"/>
    </row>
    <row r="32" spans="1:24" ht="24" customHeight="1" hidden="1" thickBot="1">
      <c r="A32" s="60" t="s">
        <v>48</v>
      </c>
      <c r="B32" s="43" t="s">
        <v>25</v>
      </c>
      <c r="C32" s="50"/>
      <c r="D32" s="50"/>
      <c r="E32" s="65"/>
      <c r="F32" s="65"/>
      <c r="G32" s="65"/>
      <c r="H32" s="65"/>
      <c r="I32" s="65"/>
      <c r="J32" s="65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>
        <f>SUM(V28-V29)</f>
        <v>59195.19200000002</v>
      </c>
      <c r="W32" s="59"/>
      <c r="X32" s="32"/>
    </row>
    <row r="33" spans="3:24" ht="6" customHeight="1" hidden="1">
      <c r="C33" s="27"/>
      <c r="D33" s="27"/>
      <c r="E33" s="27"/>
      <c r="F33" s="27"/>
      <c r="G33" s="27"/>
      <c r="H33" s="27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ht="3" customHeight="1" hidden="1"/>
    <row r="35" ht="12.75" hidden="1"/>
    <row r="36" ht="12.75" hidden="1"/>
    <row r="37" ht="12.75">
      <c r="B37" t="s">
        <v>64</v>
      </c>
    </row>
    <row r="41" ht="12.75" customHeight="1"/>
    <row r="42" ht="12.75" customHeight="1"/>
  </sheetData>
  <sheetProtection/>
  <mergeCells count="5">
    <mergeCell ref="B4:X4"/>
    <mergeCell ref="B5:X5"/>
    <mergeCell ref="B3:X3"/>
    <mergeCell ref="B1:M1"/>
    <mergeCell ref="B2:U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2019-02-11T07:30:44Z</cp:lastPrinted>
  <dcterms:created xsi:type="dcterms:W3CDTF">2011-06-16T11:06:26Z</dcterms:created>
  <dcterms:modified xsi:type="dcterms:W3CDTF">2019-02-12T13:10:13Z</dcterms:modified>
  <cp:category/>
  <cp:version/>
  <cp:contentType/>
  <cp:contentStatus/>
</cp:coreProperties>
</file>