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<sst xmlns="http://schemas.openxmlformats.org/spreadsheetml/2006/main" count="80" uniqueCount="79">
  <si>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</si>
  <si>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</si>
  <si>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</si>
  <si>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</si>
  <si>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</si>
  <si>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</si>
  <si>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</si>
  <si>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</si>
  <si>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</si>
  <si>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</si>
  <si>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</si>
  <si>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</si>
  <si>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</si>
  <si>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</si>
  <si>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</si>
  <si>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</si>
  <si>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</si>
  <si>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</si>
  <si>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</si>
  <si>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</si>
  <si>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</si>
  <si>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</si>
  <si>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</si>
  <si>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</si>
  <si>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</si>
  <si>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</si>
  <si>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</si>
  <si>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</si>
  <si>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</si>
  <si>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</si>
  <si>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</si>
  <si>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</si>
  <si>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</si>
  <si>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</si>
  <si>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</si>
  <si>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</si>
  <si>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</si>
  <si>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</si>
  <si>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</si>
  <si>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</si>
  <si>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</si>
  <si>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6</t>
  </si>
  <si>
    <t>7</t>
  </si>
  <si>
    <t>8</t>
  </si>
  <si>
    <t>9</t>
  </si>
  <si>
    <t>по жилому дому г. Унеча ул. Ленина д.7</t>
  </si>
  <si>
    <t>за 2009 г</t>
  </si>
  <si>
    <t>за 2010 г</t>
  </si>
  <si>
    <t>10</t>
  </si>
  <si>
    <t>Финансовый результат по дому с начала года</t>
  </si>
  <si>
    <t>Итого за 2011 г</t>
  </si>
  <si>
    <t>Задолженность на 01._______.2011г</t>
  </si>
  <si>
    <t>Результат за месяц</t>
  </si>
  <si>
    <t>Итого за 2012 г</t>
  </si>
  <si>
    <t>Благоустройство территории</t>
  </si>
  <si>
    <t>4.12</t>
  </si>
  <si>
    <t>4.13</t>
  </si>
  <si>
    <t>Дом по ул.Ленина д. 7 вступил в ООО "Наш дом" с октября 2009 года                                                        тариф 10,35 руб</t>
  </si>
  <si>
    <t>Итого за 2013 г</t>
  </si>
  <si>
    <t>Итого за 2014 г</t>
  </si>
  <si>
    <t>рентабельность 5%</t>
  </si>
  <si>
    <t xml:space="preserve">Материалы </t>
  </si>
  <si>
    <t>Итого за 2015 г</t>
  </si>
  <si>
    <t>Услуги сторонних орган.</t>
  </si>
  <si>
    <t xml:space="preserve">Расходы на управление,аренда, связь </t>
  </si>
  <si>
    <t>Исполнитель вед. экономист  /Викторова Л.С./</t>
  </si>
  <si>
    <t xml:space="preserve">Услуги агентские,охрана труда,отопление, хол.вода, эл.энегрия   </t>
  </si>
  <si>
    <t>Итого за 2016 г</t>
  </si>
  <si>
    <t>Итого за 2017 г</t>
  </si>
  <si>
    <t>Начислено  СОИД</t>
  </si>
  <si>
    <t>Начислено  нежилые</t>
  </si>
  <si>
    <t>Электроэнергия СОИД</t>
  </si>
  <si>
    <t>Горячая вода СОИД</t>
  </si>
  <si>
    <t>Холодная вода СОИД</t>
  </si>
  <si>
    <t>Канализация СОИД</t>
  </si>
  <si>
    <t>Проверка вент. каналов</t>
  </si>
  <si>
    <t>Транспортные(ГСМ,зап.части,амортизация,страхов)</t>
  </si>
  <si>
    <t>Итого за 2018 г</t>
  </si>
  <si>
    <t>Всего за 2009-2018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</si>
</sst>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2" fontId="21" fillId="0" borderId="26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0" fontId="26" fillId="0" borderId="37" xfId="0" applyFont="1" applyBorder="1" applyAlignment="1">
      <alignment wrapText="1"/>
    </xf>
    <xf numFmtId="0" fontId="26" fillId="0" borderId="32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25" fillId="0" borderId="0" xfId="0" applyFont="1" applyAlignment="1">
      <alignment/>
    </xf>
    <xf numFmtId="0" fontId="26" fillId="0" borderId="43" xfId="0" applyFont="1" applyBorder="1" applyAlignment="1">
      <alignment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0" fontId="20" fillId="0" borderId="27" xfId="0" applyFont="1" applyBorder="1" applyAlignment="1">
      <alignment/>
    </xf>
    <xf numFmtId="2" fontId="21" fillId="0" borderId="18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49" fontId="27" fillId="0" borderId="33" xfId="0" applyNumberFormat="1" applyFont="1" applyBorder="1" applyAlignment="1">
      <alignment horizontal="center"/>
    </xf>
    <xf numFmtId="0" fontId="28" fillId="0" borderId="32" xfId="0" applyFont="1" applyBorder="1" applyAlignment="1">
      <alignment/>
    </xf>
    <xf numFmtId="0" fontId="28" fillId="0" borderId="35" xfId="0" applyFont="1" applyBorder="1" applyAlignment="1">
      <alignment/>
    </xf>
    <xf numFmtId="2" fontId="28" fillId="0" borderId="35" xfId="0" applyNumberFormat="1" applyFont="1" applyBorder="1" applyAlignment="1">
      <alignment/>
    </xf>
    <xf numFmtId="0" fontId="19" fillId="0" borderId="42" xfId="0" applyFont="1" applyBorder="1" applyAlignment="1">
      <alignment horizontal="center" vertical="center" wrapText="1"/>
    </xf>
    <xf numFmtId="2" fontId="21" fillId="0" borderId="26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0" fontId="26" fillId="0" borderId="38" xfId="0" applyFont="1" applyBorder="1" applyAlignment="1">
      <alignment wrapText="1"/>
    </xf>
    <xf numFmtId="0" fontId="26" fillId="0" borderId="47" xfId="0" applyFont="1" applyBorder="1" applyAlignment="1">
      <alignment wrapText="1"/>
    </xf>
    <xf numFmtId="2" fontId="21" fillId="0" borderId="36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9" fillId="0" borderId="23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42" xfId="0" applyFont="1" applyBorder="1" applyAlignment="1">
      <alignment/>
    </xf>
    <xf numFmtId="0" fontId="29" fillId="0" borderId="11" xfId="0" applyFont="1" applyBorder="1" applyAlignment="1">
      <alignment/>
    </xf>
    <xf numFmtId="0" fontId="30" fillId="0" borderId="35" xfId="0" applyFont="1" applyBorder="1" applyAlignment="1">
      <alignment/>
    </xf>
    <xf numFmtId="0" fontId="22" fillId="0" borderId="0" xfId="0" applyFont="1" applyAlignment="1">
      <alignment/>
    </xf>
    <xf numFmtId="49" fontId="31" fillId="0" borderId="33" xfId="0" applyNumberFormat="1" applyFont="1" applyBorder="1" applyAlignment="1">
      <alignment horizontal="center"/>
    </xf>
    <xf numFmtId="0" fontId="29" fillId="0" borderId="35" xfId="0" applyFont="1" applyBorder="1" applyAlignment="1">
      <alignment wrapText="1"/>
    </xf>
    <xf numFmtId="0" fontId="29" fillId="0" borderId="23" xfId="0" applyFont="1" applyBorder="1" applyAlignment="1">
      <alignment wrapText="1"/>
    </xf>
    <xf numFmtId="2" fontId="29" fillId="0" borderId="23" xfId="0" applyNumberFormat="1" applyFont="1" applyBorder="1" applyAlignment="1">
      <alignment/>
    </xf>
    <xf numFmtId="2" fontId="29" fillId="0" borderId="35" xfId="0" applyNumberFormat="1" applyFont="1" applyBorder="1" applyAlignment="1">
      <alignment/>
    </xf>
    <xf numFmtId="2" fontId="29" fillId="0" borderId="42" xfId="0" applyNumberFormat="1" applyFont="1" applyBorder="1" applyAlignment="1">
      <alignment/>
    </xf>
    <xf numFmtId="2" fontId="29" fillId="0" borderId="11" xfId="0" applyNumberFormat="1" applyFont="1" applyBorder="1" applyAlignment="1">
      <alignment/>
    </xf>
    <xf numFmtId="2" fontId="29" fillId="0" borderId="10" xfId="0" applyNumberFormat="1" applyFont="1" applyBorder="1" applyAlignment="1">
      <alignment/>
    </xf>
    <xf numFmtId="0" fontId="22" fillId="0" borderId="27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2" fontId="21" fillId="0" borderId="13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zoomScalePageLayoutView="0" workbookViewId="0" topLeftCell="A7">
      <selection activeCell="AG23" sqref="AG23"/>
    </sheetView>
  </sheetViews>
  <sheetFormatPr defaultColWidth="9.00390625" defaultRowHeight="12.75"/>
  <cols>
    <col min="1" max="1" width="3.75390625" style="29" customWidth="1"/>
    <col min="2" max="2" width="20.375" style="0" customWidth="1"/>
    <col min="3" max="3" width="7.25390625" style="0" hidden="1" customWidth="1"/>
    <col min="4" max="4" width="7.875" style="0" hidden="1" customWidth="1"/>
    <col min="5" max="5" width="7.375" style="0" hidden="1" customWidth="1"/>
    <col min="6" max="8" width="8.625" style="0" hidden="1" customWidth="1"/>
    <col min="9" max="10" width="9.00390625" style="0" hidden="1" customWidth="1"/>
    <col min="11" max="11" width="9.25390625" style="0" hidden="1" customWidth="1"/>
    <col min="12" max="13" width="8.375" style="0" customWidth="1"/>
    <col min="14" max="14" width="8.25390625" style="0" customWidth="1"/>
    <col min="15" max="15" width="8.375" style="0" customWidth="1"/>
    <col min="16" max="17" width="8.00390625" style="0" customWidth="1"/>
    <col min="18" max="18" width="8.375" style="0" customWidth="1"/>
    <col min="19" max="19" width="9.25390625" style="0" customWidth="1"/>
    <col min="20" max="20" width="8.75390625" style="0" customWidth="1"/>
    <col min="21" max="21" width="8.375" style="0" customWidth="1"/>
    <col min="22" max="22" width="8.625" style="0" customWidth="1"/>
    <col min="23" max="23" width="8.25390625" style="0" customWidth="1"/>
    <col min="24" max="24" width="8.875" style="0" customWidth="1"/>
    <col min="25" max="25" width="10.375" style="0" customWidth="1"/>
  </cols>
  <sheetData>
    <row r="1" spans="2:30" ht="12.75" customHeight="1">
      <c r="B1" s="110" t="s">
        <v>9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110" t="s">
        <v>57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4"/>
      <c r="X2" s="4"/>
      <c r="Y2" s="4"/>
      <c r="Z2" s="4"/>
      <c r="AA2" s="4"/>
      <c r="AB2" s="4"/>
      <c r="AC2" s="4"/>
      <c r="AD2" s="4"/>
    </row>
    <row r="3" spans="2:30" ht="12.75" customHeight="1">
      <c r="B3" s="109" t="s"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3"/>
      <c r="AA3" s="3"/>
      <c r="AB3" s="3"/>
      <c r="AC3" s="3"/>
      <c r="AD3" s="3"/>
    </row>
    <row r="4" spans="2:30" ht="15" customHeight="1">
      <c r="B4" s="108" t="s">
        <v>11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2"/>
      <c r="AA4" s="2"/>
      <c r="AB4" s="2"/>
      <c r="AC4" s="2"/>
      <c r="AD4" s="2"/>
    </row>
    <row r="5" spans="2:30" ht="14.25" customHeight="1" thickBot="1">
      <c r="B5" s="108" t="s">
        <v>45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2"/>
      <c r="AA5" s="2"/>
      <c r="AB5" s="2"/>
      <c r="AC5" s="2"/>
      <c r="AD5" s="2"/>
    </row>
    <row r="6" spans="2:30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</row>
    <row r="7" spans="1:30" ht="27.75" customHeight="1" thickBot="1">
      <c r="A7" s="39" t="s">
        <v>27</v>
      </c>
      <c r="B7" s="30" t="s">
        <v>7</v>
      </c>
      <c r="C7" s="42" t="s">
        <v>46</v>
      </c>
      <c r="D7" s="46" t="s">
        <v>47</v>
      </c>
      <c r="E7" s="61" t="s">
        <v>50</v>
      </c>
      <c r="F7" s="61" t="s">
        <v>53</v>
      </c>
      <c r="G7" s="61" t="s">
        <v>58</v>
      </c>
      <c r="H7" s="85" t="s">
        <v>59</v>
      </c>
      <c r="I7" s="61" t="s">
        <v>62</v>
      </c>
      <c r="J7" s="61" t="s">
        <v>67</v>
      </c>
      <c r="K7" s="61" t="s">
        <v>68</v>
      </c>
      <c r="L7" s="6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5" t="s">
        <v>17</v>
      </c>
      <c r="R7" s="5" t="s">
        <v>18</v>
      </c>
      <c r="S7" s="5" t="s">
        <v>19</v>
      </c>
      <c r="T7" s="5" t="s">
        <v>20</v>
      </c>
      <c r="U7" s="5" t="s">
        <v>21</v>
      </c>
      <c r="V7" s="5" t="s">
        <v>23</v>
      </c>
      <c r="W7" s="17" t="s">
        <v>22</v>
      </c>
      <c r="X7" s="61" t="s">
        <v>77</v>
      </c>
      <c r="Y7" s="56" t="s">
        <v>78</v>
      </c>
      <c r="Z7" s="1"/>
      <c r="AA7" s="1"/>
      <c r="AB7" s="1"/>
      <c r="AC7" s="1"/>
      <c r="AD7" s="1"/>
    </row>
    <row r="8" spans="1:25" ht="13.5" thickBot="1">
      <c r="A8" s="40" t="s">
        <v>28</v>
      </c>
      <c r="B8" s="31" t="s">
        <v>1</v>
      </c>
      <c r="C8" s="68">
        <v>66309</v>
      </c>
      <c r="D8" s="69">
        <v>265063.04</v>
      </c>
      <c r="E8" s="72">
        <v>343099.92</v>
      </c>
      <c r="F8" s="69">
        <v>356198.52</v>
      </c>
      <c r="G8" s="69">
        <v>355463.67</v>
      </c>
      <c r="H8" s="69">
        <v>355042.51</v>
      </c>
      <c r="I8" s="69">
        <v>354624.39</v>
      </c>
      <c r="J8" s="89">
        <v>354518.76</v>
      </c>
      <c r="K8" s="69">
        <v>296550.41</v>
      </c>
      <c r="L8" s="7">
        <v>24725.3</v>
      </c>
      <c r="M8" s="8">
        <v>24725.3</v>
      </c>
      <c r="N8" s="8">
        <v>24725.3</v>
      </c>
      <c r="O8" s="8">
        <v>24725.3</v>
      </c>
      <c r="P8" s="8">
        <v>24725.3</v>
      </c>
      <c r="Q8" s="8">
        <v>24725.3</v>
      </c>
      <c r="R8" s="8">
        <v>24719.09</v>
      </c>
      <c r="S8" s="8">
        <v>24719.09</v>
      </c>
      <c r="T8" s="8">
        <v>24719.09</v>
      </c>
      <c r="U8" s="8">
        <v>24719.09</v>
      </c>
      <c r="V8" s="8">
        <v>24719.09</v>
      </c>
      <c r="W8" s="8">
        <v>24744.97</v>
      </c>
      <c r="X8" s="62">
        <f>SUM(L8:W8)</f>
        <v>296692.22</v>
      </c>
      <c r="Y8" s="82">
        <f>SUM(C8:W8)</f>
        <v>3043562.439999998</v>
      </c>
    </row>
    <row r="9" spans="1:25" ht="13.5" thickBot="1">
      <c r="A9" s="40"/>
      <c r="B9" s="31" t="s">
        <v>69</v>
      </c>
      <c r="C9" s="68"/>
      <c r="D9" s="88"/>
      <c r="E9" s="72"/>
      <c r="F9" s="88"/>
      <c r="G9" s="88"/>
      <c r="H9" s="88"/>
      <c r="I9" s="88"/>
      <c r="J9" s="72"/>
      <c r="K9" s="88">
        <v>29506.56</v>
      </c>
      <c r="L9" s="7">
        <f aca="true" t="shared" si="0" ref="L9:Q9">1918.19+92.63+134.66+412.27</f>
        <v>2557.75</v>
      </c>
      <c r="M9" s="7">
        <f t="shared" si="0"/>
        <v>2557.75</v>
      </c>
      <c r="N9" s="7">
        <f t="shared" si="0"/>
        <v>2557.75</v>
      </c>
      <c r="O9" s="7">
        <f t="shared" si="0"/>
        <v>2557.75</v>
      </c>
      <c r="P9" s="7">
        <f t="shared" si="0"/>
        <v>2557.75</v>
      </c>
      <c r="Q9" s="7">
        <f t="shared" si="0"/>
        <v>2557.75</v>
      </c>
      <c r="R9" s="8">
        <f>2013.13+93.15+135.84+425.67</f>
        <v>2667.7900000000004</v>
      </c>
      <c r="S9" s="8">
        <f>93.15+135.84+425.67</f>
        <v>654.6600000000001</v>
      </c>
      <c r="T9" s="8">
        <f>93.15+135.84+425.67</f>
        <v>654.6600000000001</v>
      </c>
      <c r="U9" s="8">
        <f>93.15+135.84+425.67</f>
        <v>654.6600000000001</v>
      </c>
      <c r="V9" s="8">
        <f>93.15+135.84+425.67</f>
        <v>654.6600000000001</v>
      </c>
      <c r="W9" s="8">
        <f>93.16+135.83+425.77</f>
        <v>654.76</v>
      </c>
      <c r="X9" s="62">
        <f>SUM(L9:W9)</f>
        <v>21287.69</v>
      </c>
      <c r="Y9" s="82">
        <f>SUM(C9:W9)</f>
        <v>50794.250000000015</v>
      </c>
    </row>
    <row r="10" spans="1:25" ht="13.5" thickBot="1">
      <c r="A10" s="40"/>
      <c r="B10" s="31" t="s">
        <v>70</v>
      </c>
      <c r="C10" s="68"/>
      <c r="D10" s="88"/>
      <c r="E10" s="72"/>
      <c r="F10" s="88"/>
      <c r="G10" s="88"/>
      <c r="H10" s="88"/>
      <c r="I10" s="88"/>
      <c r="J10" s="72"/>
      <c r="K10" s="88">
        <v>64199.21</v>
      </c>
      <c r="L10" s="7">
        <v>5408.81</v>
      </c>
      <c r="M10" s="7">
        <v>5408.81</v>
      </c>
      <c r="N10" s="7">
        <v>5408.81</v>
      </c>
      <c r="O10" s="7">
        <v>5408.81</v>
      </c>
      <c r="P10" s="7">
        <v>5408.81</v>
      </c>
      <c r="Q10" s="7">
        <v>5408.81</v>
      </c>
      <c r="R10" s="8">
        <v>5432.39</v>
      </c>
      <c r="S10" s="8">
        <v>5432.39</v>
      </c>
      <c r="T10" s="8">
        <v>5432.39</v>
      </c>
      <c r="U10" s="8">
        <v>5432.39</v>
      </c>
      <c r="V10" s="8">
        <v>5432.39</v>
      </c>
      <c r="W10" s="8">
        <v>5972.93</v>
      </c>
      <c r="X10" s="62">
        <f>SUM(L10:W10)</f>
        <v>65587.74</v>
      </c>
      <c r="Y10" s="82">
        <f>SUM(C10:W10)</f>
        <v>129786.94999999998</v>
      </c>
    </row>
    <row r="11" spans="1:25" s="98" customFormat="1" ht="13.5" thickBot="1">
      <c r="A11" s="91" t="s">
        <v>29</v>
      </c>
      <c r="B11" s="92" t="s">
        <v>2</v>
      </c>
      <c r="C11" s="93">
        <f aca="true" t="shared" si="1" ref="C11:L11">SUM(C12:C27)</f>
        <v>42829.59</v>
      </c>
      <c r="D11" s="94">
        <f t="shared" si="1"/>
        <v>221365.93000000002</v>
      </c>
      <c r="E11" s="93">
        <f t="shared" si="1"/>
        <v>277293.69000000006</v>
      </c>
      <c r="F11" s="94">
        <f t="shared" si="1"/>
        <v>242775.71</v>
      </c>
      <c r="G11" s="94">
        <f t="shared" si="1"/>
        <v>241577.47999999998</v>
      </c>
      <c r="H11" s="94">
        <f>SUM(H12:H27)</f>
        <v>241379.32</v>
      </c>
      <c r="I11" s="94">
        <f>SUM(I12:I27)</f>
        <v>348670.4</v>
      </c>
      <c r="J11" s="95">
        <f>SUM(J12:J27)</f>
        <v>278999.08</v>
      </c>
      <c r="K11" s="94">
        <f>SUM(K12:K27)</f>
        <v>331765.12</v>
      </c>
      <c r="L11" s="96">
        <f t="shared" si="1"/>
        <v>24764.280000000002</v>
      </c>
      <c r="M11" s="96">
        <f aca="true" t="shared" si="2" ref="M11:W11">SUM(M12:M27)</f>
        <v>23876.939999999995</v>
      </c>
      <c r="N11" s="96">
        <f t="shared" si="2"/>
        <v>24848.500000000004</v>
      </c>
      <c r="O11" s="96">
        <f t="shared" si="2"/>
        <v>27177.85</v>
      </c>
      <c r="P11" s="96">
        <f t="shared" si="2"/>
        <v>31356.92</v>
      </c>
      <c r="Q11" s="96">
        <f t="shared" si="2"/>
        <v>43767.44</v>
      </c>
      <c r="R11" s="96">
        <f t="shared" si="2"/>
        <v>24385.809999999998</v>
      </c>
      <c r="S11" s="96">
        <f t="shared" si="2"/>
        <v>21312.999999999996</v>
      </c>
      <c r="T11" s="96">
        <f t="shared" si="2"/>
        <v>20505.48</v>
      </c>
      <c r="U11" s="96">
        <f t="shared" si="2"/>
        <v>30645.970000000005</v>
      </c>
      <c r="V11" s="96">
        <f t="shared" si="2"/>
        <v>28078.340000000004</v>
      </c>
      <c r="W11" s="93">
        <f t="shared" si="2"/>
        <v>23872.19</v>
      </c>
      <c r="X11" s="94">
        <f>SUM(L11:W11)</f>
        <v>324592.72000000003</v>
      </c>
      <c r="Y11" s="97">
        <f>SUM(C11:W11)</f>
        <v>2551249.04</v>
      </c>
    </row>
    <row r="12" spans="1:25" ht="13.5" thickBot="1">
      <c r="A12" s="81" t="s">
        <v>30</v>
      </c>
      <c r="B12" s="33" t="s">
        <v>4</v>
      </c>
      <c r="C12" s="50">
        <v>10867.94</v>
      </c>
      <c r="D12" s="51">
        <v>45175.16</v>
      </c>
      <c r="E12" s="73">
        <v>49301.17</v>
      </c>
      <c r="F12" s="51">
        <v>49332.34</v>
      </c>
      <c r="G12" s="51">
        <v>56916.75</v>
      </c>
      <c r="H12" s="73">
        <v>62929.12</v>
      </c>
      <c r="I12" s="51">
        <v>57847.83</v>
      </c>
      <c r="J12" s="73">
        <v>56597.95</v>
      </c>
      <c r="K12" s="51">
        <v>56400.27</v>
      </c>
      <c r="L12" s="7">
        <f>4452+175.16</f>
        <v>4627.16</v>
      </c>
      <c r="M12" s="8">
        <f>4452+192.14</f>
        <v>4644.14</v>
      </c>
      <c r="N12" s="8">
        <f>4505+137.93</f>
        <v>4642.93</v>
      </c>
      <c r="O12" s="8">
        <f>4505+388.56</f>
        <v>4893.56</v>
      </c>
      <c r="P12" s="8">
        <f>4240+363.05</f>
        <v>4603.05</v>
      </c>
      <c r="Q12" s="8">
        <f>4346+356.85</f>
        <v>4702.85</v>
      </c>
      <c r="R12" s="8">
        <f>4293+301.08</f>
        <v>4594.08</v>
      </c>
      <c r="S12" s="8">
        <f>4293+380.66</f>
        <v>4673.66</v>
      </c>
      <c r="T12" s="8">
        <f>4293+282.95</f>
        <v>4575.95</v>
      </c>
      <c r="U12" s="8">
        <f>4346+232.19</f>
        <v>4578.19</v>
      </c>
      <c r="V12" s="8">
        <f>4293+266.52</f>
        <v>4559.52</v>
      </c>
      <c r="W12" s="18">
        <f>4293+244.97</f>
        <v>4537.97</v>
      </c>
      <c r="X12" s="63">
        <f>SUM(L12:W12)</f>
        <v>55633.06000000001</v>
      </c>
      <c r="Y12" s="84">
        <f>SUM(C12:W12)</f>
        <v>501001.58999999997</v>
      </c>
    </row>
    <row r="13" spans="1:25" ht="13.5" customHeight="1" thickBot="1">
      <c r="A13" s="81" t="s">
        <v>31</v>
      </c>
      <c r="B13" s="34" t="s">
        <v>63</v>
      </c>
      <c r="C13" s="52">
        <v>23489.13</v>
      </c>
      <c r="D13" s="53">
        <v>65573.67</v>
      </c>
      <c r="E13" s="74">
        <v>24179.54</v>
      </c>
      <c r="F13" s="53">
        <v>6443.64</v>
      </c>
      <c r="G13" s="51">
        <v>2968.65</v>
      </c>
      <c r="H13" s="73">
        <v>480</v>
      </c>
      <c r="I13" s="51">
        <v>7751.17</v>
      </c>
      <c r="J13" s="73">
        <v>4135.14</v>
      </c>
      <c r="K13" s="51">
        <v>3669.65</v>
      </c>
      <c r="L13" s="9"/>
      <c r="M13" s="10"/>
      <c r="N13" s="10">
        <v>420</v>
      </c>
      <c r="O13" s="10"/>
      <c r="P13" s="10">
        <f>3400+666</f>
        <v>4066</v>
      </c>
      <c r="Q13" s="10"/>
      <c r="R13" s="10"/>
      <c r="S13" s="10"/>
      <c r="T13" s="10"/>
      <c r="U13" s="10"/>
      <c r="V13" s="10"/>
      <c r="W13" s="19"/>
      <c r="X13" s="63">
        <f aca="true" t="shared" si="3" ref="X13:X29">SUM(L13:W13)</f>
        <v>4486</v>
      </c>
      <c r="Y13" s="83">
        <f aca="true" t="shared" si="4" ref="Y13:Y27">SUM(C13:W13)</f>
        <v>143176.59</v>
      </c>
    </row>
    <row r="14" spans="1:25" ht="14.25" customHeight="1" thickBot="1">
      <c r="A14" s="81" t="s">
        <v>32</v>
      </c>
      <c r="B14" s="32" t="s">
        <v>5</v>
      </c>
      <c r="C14" s="52">
        <v>0</v>
      </c>
      <c r="D14" s="53">
        <v>0</v>
      </c>
      <c r="E14" s="74">
        <v>3412.5</v>
      </c>
      <c r="F14" s="53">
        <v>4195.47</v>
      </c>
      <c r="G14" s="53">
        <v>0</v>
      </c>
      <c r="H14" s="74"/>
      <c r="I14" s="53">
        <v>9026.8</v>
      </c>
      <c r="J14" s="74">
        <v>0</v>
      </c>
      <c r="K14" s="53">
        <v>0</v>
      </c>
      <c r="L14" s="9"/>
      <c r="M14" s="10"/>
      <c r="N14" s="10"/>
      <c r="O14" s="10"/>
      <c r="P14" s="10"/>
      <c r="Q14" s="10">
        <v>8879.46</v>
      </c>
      <c r="R14" s="10"/>
      <c r="S14" s="10"/>
      <c r="T14" s="10"/>
      <c r="U14" s="10"/>
      <c r="V14" s="10"/>
      <c r="W14" s="19"/>
      <c r="X14" s="63">
        <f t="shared" si="3"/>
        <v>8879.46</v>
      </c>
      <c r="Y14" s="83">
        <f t="shared" si="4"/>
        <v>25514.23</v>
      </c>
    </row>
    <row r="15" spans="1:25" ht="15.75" customHeight="1" thickBot="1">
      <c r="A15" s="81" t="s">
        <v>33</v>
      </c>
      <c r="B15" s="34" t="s">
        <v>61</v>
      </c>
      <c r="C15" s="52">
        <v>575.43</v>
      </c>
      <c r="D15" s="53">
        <v>15874.23</v>
      </c>
      <c r="E15" s="74">
        <v>38349.43</v>
      </c>
      <c r="F15" s="53">
        <v>10233.74</v>
      </c>
      <c r="G15" s="53">
        <v>11517.75</v>
      </c>
      <c r="H15" s="74">
        <v>8892.91</v>
      </c>
      <c r="I15" s="53">
        <v>30360.45</v>
      </c>
      <c r="J15" s="74">
        <v>21891.35</v>
      </c>
      <c r="K15" s="53">
        <v>39733.53</v>
      </c>
      <c r="L15" s="9">
        <v>661.23</v>
      </c>
      <c r="M15" s="10">
        <v>150</v>
      </c>
      <c r="N15" s="10">
        <v>976.26</v>
      </c>
      <c r="O15" s="8">
        <f>1418.6+890</f>
        <v>2308.6</v>
      </c>
      <c r="P15" s="10">
        <f>2069.8+565.89</f>
        <v>2635.69</v>
      </c>
      <c r="Q15" s="10">
        <f>5456.62+1820</f>
        <v>7276.62</v>
      </c>
      <c r="R15" s="10">
        <v>475.72</v>
      </c>
      <c r="S15" s="10">
        <v>48</v>
      </c>
      <c r="T15" s="10">
        <v>404.62</v>
      </c>
      <c r="U15" s="10">
        <f>2714.14+1095</f>
        <v>3809.14</v>
      </c>
      <c r="V15" s="10">
        <v>1567.39</v>
      </c>
      <c r="W15" s="19">
        <v>1050</v>
      </c>
      <c r="X15" s="63">
        <f t="shared" si="3"/>
        <v>21363.27</v>
      </c>
      <c r="Y15" s="83">
        <f t="shared" si="4"/>
        <v>198792.09000000003</v>
      </c>
    </row>
    <row r="16" spans="1:25" ht="13.5" customHeight="1" thickBot="1">
      <c r="A16" s="81"/>
      <c r="B16" s="34" t="s">
        <v>75</v>
      </c>
      <c r="C16" s="52"/>
      <c r="D16" s="53"/>
      <c r="E16" s="74"/>
      <c r="F16" s="53"/>
      <c r="G16" s="53"/>
      <c r="H16" s="74"/>
      <c r="I16" s="53">
        <v>1400</v>
      </c>
      <c r="J16" s="74">
        <v>3600</v>
      </c>
      <c r="K16" s="53">
        <v>3500</v>
      </c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>
        <v>3500</v>
      </c>
      <c r="W16" s="19"/>
      <c r="X16" s="63">
        <f>SUM(L16:W16)</f>
        <v>3500</v>
      </c>
      <c r="Y16" s="83">
        <f>SUM(C16:W16)</f>
        <v>12000</v>
      </c>
    </row>
    <row r="17" spans="1:25" ht="25.5" customHeight="1" thickBot="1">
      <c r="A17" s="81" t="s">
        <v>34</v>
      </c>
      <c r="B17" s="34" t="s">
        <v>54</v>
      </c>
      <c r="C17" s="52">
        <v>0</v>
      </c>
      <c r="D17" s="53">
        <v>0</v>
      </c>
      <c r="E17" s="74">
        <v>0</v>
      </c>
      <c r="F17" s="53">
        <v>256</v>
      </c>
      <c r="G17" s="53">
        <v>0</v>
      </c>
      <c r="H17" s="74">
        <v>47.5</v>
      </c>
      <c r="I17" s="53">
        <v>27964.63</v>
      </c>
      <c r="J17" s="74">
        <v>3186</v>
      </c>
      <c r="K17" s="53">
        <v>325.33</v>
      </c>
      <c r="L17" s="9">
        <v>14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9"/>
      <c r="X17" s="63">
        <f t="shared" si="3"/>
        <v>14</v>
      </c>
      <c r="Y17" s="83">
        <f t="shared" si="4"/>
        <v>31793.460000000003</v>
      </c>
    </row>
    <row r="18" spans="1:25" ht="15" customHeight="1" thickBot="1">
      <c r="A18" s="81" t="s">
        <v>35</v>
      </c>
      <c r="B18" s="34" t="s">
        <v>71</v>
      </c>
      <c r="C18" s="52">
        <v>4435.71</v>
      </c>
      <c r="D18" s="53">
        <v>15571.8</v>
      </c>
      <c r="E18" s="74">
        <v>17153.2</v>
      </c>
      <c r="F18" s="53">
        <v>9037.65</v>
      </c>
      <c r="G18" s="53">
        <v>0</v>
      </c>
      <c r="H18" s="74"/>
      <c r="I18" s="53">
        <v>0</v>
      </c>
      <c r="J18" s="74">
        <v>0</v>
      </c>
      <c r="K18" s="53">
        <v>21764.92</v>
      </c>
      <c r="L18" s="9">
        <v>1918.19</v>
      </c>
      <c r="M18" s="9">
        <v>1918.19</v>
      </c>
      <c r="N18" s="9">
        <v>1918.19</v>
      </c>
      <c r="O18" s="9">
        <v>1918.19</v>
      </c>
      <c r="P18" s="9">
        <v>1918.19</v>
      </c>
      <c r="Q18" s="9">
        <v>1918.19</v>
      </c>
      <c r="R18" s="10">
        <v>2013.13</v>
      </c>
      <c r="S18" s="10"/>
      <c r="T18" s="10"/>
      <c r="U18" s="10"/>
      <c r="V18" s="10"/>
      <c r="W18" s="19"/>
      <c r="X18" s="63">
        <f t="shared" si="3"/>
        <v>13522.27</v>
      </c>
      <c r="Y18" s="83">
        <f t="shared" si="4"/>
        <v>81485.55000000002</v>
      </c>
    </row>
    <row r="19" spans="1:25" ht="12.75" customHeight="1" thickBot="1">
      <c r="A19" s="81"/>
      <c r="B19" s="34" t="s">
        <v>73</v>
      </c>
      <c r="C19" s="52"/>
      <c r="D19" s="53"/>
      <c r="E19" s="74"/>
      <c r="F19" s="53"/>
      <c r="G19" s="53"/>
      <c r="H19" s="74"/>
      <c r="I19" s="53"/>
      <c r="J19" s="74"/>
      <c r="K19" s="53">
        <v>1290.94</v>
      </c>
      <c r="L19" s="9">
        <v>110.79</v>
      </c>
      <c r="M19" s="9">
        <v>110.79</v>
      </c>
      <c r="N19" s="9">
        <v>110.79</v>
      </c>
      <c r="O19" s="9">
        <v>110.79</v>
      </c>
      <c r="P19" s="9">
        <v>110.79</v>
      </c>
      <c r="Q19" s="9">
        <v>110.79</v>
      </c>
      <c r="R19" s="10">
        <v>111.48</v>
      </c>
      <c r="S19" s="10">
        <v>111.48</v>
      </c>
      <c r="T19" s="10">
        <v>111.48</v>
      </c>
      <c r="U19" s="10">
        <v>111.48</v>
      </c>
      <c r="V19" s="10">
        <v>111.48</v>
      </c>
      <c r="W19" s="10">
        <v>111.48</v>
      </c>
      <c r="X19" s="63">
        <f t="shared" si="3"/>
        <v>1333.6200000000001</v>
      </c>
      <c r="Y19" s="83">
        <f t="shared" si="4"/>
        <v>2624.56</v>
      </c>
    </row>
    <row r="20" spans="1:25" ht="12" customHeight="1" thickBot="1">
      <c r="A20" s="81"/>
      <c r="B20" s="34" t="s">
        <v>72</v>
      </c>
      <c r="C20" s="52"/>
      <c r="D20" s="53"/>
      <c r="E20" s="74"/>
      <c r="F20" s="53"/>
      <c r="G20" s="53"/>
      <c r="H20" s="74"/>
      <c r="I20" s="53"/>
      <c r="J20" s="74"/>
      <c r="K20" s="53">
        <v>6219.78</v>
      </c>
      <c r="L20" s="9">
        <v>493.36</v>
      </c>
      <c r="M20" s="9">
        <v>493.36</v>
      </c>
      <c r="N20" s="9">
        <v>493.36</v>
      </c>
      <c r="O20" s="9">
        <v>493.36</v>
      </c>
      <c r="P20" s="9">
        <v>493.36</v>
      </c>
      <c r="Q20" s="9">
        <v>493.36</v>
      </c>
      <c r="R20" s="10">
        <v>509.41</v>
      </c>
      <c r="S20" s="10">
        <v>509.41</v>
      </c>
      <c r="T20" s="10">
        <v>509.41</v>
      </c>
      <c r="U20" s="10">
        <v>509.41</v>
      </c>
      <c r="V20" s="10">
        <v>509.41</v>
      </c>
      <c r="W20" s="10">
        <v>509.41</v>
      </c>
      <c r="X20" s="63">
        <f>SUM(L20:W20)</f>
        <v>6016.62</v>
      </c>
      <c r="Y20" s="83">
        <f>SUM(C20:W20)</f>
        <v>12236.4</v>
      </c>
    </row>
    <row r="21" spans="1:25" ht="12.75" customHeight="1" thickBot="1">
      <c r="A21" s="81"/>
      <c r="B21" s="34" t="s">
        <v>74</v>
      </c>
      <c r="C21" s="52"/>
      <c r="D21" s="53"/>
      <c r="E21" s="74"/>
      <c r="F21" s="53"/>
      <c r="G21" s="53"/>
      <c r="H21" s="74"/>
      <c r="I21" s="53"/>
      <c r="J21" s="74"/>
      <c r="K21" s="53">
        <v>1124.25</v>
      </c>
      <c r="L21" s="9">
        <v>161.15</v>
      </c>
      <c r="M21" s="9">
        <v>161.15</v>
      </c>
      <c r="N21" s="9">
        <v>161.15</v>
      </c>
      <c r="O21" s="9">
        <v>161.15</v>
      </c>
      <c r="P21" s="9">
        <v>161.15</v>
      </c>
      <c r="Q21" s="9">
        <v>161.15</v>
      </c>
      <c r="R21" s="10">
        <v>162.54</v>
      </c>
      <c r="S21" s="10">
        <v>162.54</v>
      </c>
      <c r="T21" s="10">
        <v>162.54</v>
      </c>
      <c r="U21" s="10">
        <v>162.54</v>
      </c>
      <c r="V21" s="10">
        <v>162.54</v>
      </c>
      <c r="W21" s="10">
        <v>162.54</v>
      </c>
      <c r="X21" s="63">
        <f>SUM(L21:W21)</f>
        <v>1942.1399999999999</v>
      </c>
      <c r="Y21" s="83">
        <f>SUM(C21:W21)</f>
        <v>3066.3900000000003</v>
      </c>
    </row>
    <row r="22" spans="1:25" ht="12.75" customHeight="1" thickBot="1">
      <c r="A22" s="81" t="s">
        <v>36</v>
      </c>
      <c r="B22" s="34" t="s">
        <v>6</v>
      </c>
      <c r="C22" s="52">
        <v>313.36</v>
      </c>
      <c r="D22" s="53">
        <v>3006.14</v>
      </c>
      <c r="E22" s="74">
        <v>779.39</v>
      </c>
      <c r="F22" s="53">
        <v>421.37</v>
      </c>
      <c r="G22" s="53">
        <v>141.9</v>
      </c>
      <c r="H22" s="74">
        <v>319.27</v>
      </c>
      <c r="I22" s="53">
        <v>733.24</v>
      </c>
      <c r="J22" s="74">
        <v>454.53</v>
      </c>
      <c r="K22" s="53">
        <v>744.75</v>
      </c>
      <c r="L22" s="9"/>
      <c r="M22" s="10"/>
      <c r="N22" s="10">
        <v>145.64</v>
      </c>
      <c r="O22" s="10"/>
      <c r="P22" s="10"/>
      <c r="Q22" s="10">
        <v>135.01</v>
      </c>
      <c r="R22" s="10"/>
      <c r="S22" s="10"/>
      <c r="T22" s="10">
        <v>135.27</v>
      </c>
      <c r="U22" s="10"/>
      <c r="V22" s="10"/>
      <c r="W22" s="19">
        <v>124.87</v>
      </c>
      <c r="X22" s="63">
        <f t="shared" si="3"/>
        <v>540.79</v>
      </c>
      <c r="Y22" s="83">
        <f t="shared" si="4"/>
        <v>7454.740000000001</v>
      </c>
    </row>
    <row r="23" spans="1:25" ht="26.25" customHeight="1" thickBot="1">
      <c r="A23" s="81" t="s">
        <v>37</v>
      </c>
      <c r="B23" s="34" t="s">
        <v>76</v>
      </c>
      <c r="C23" s="52">
        <v>0</v>
      </c>
      <c r="D23" s="53">
        <v>3269.39</v>
      </c>
      <c r="E23" s="74">
        <v>11662</v>
      </c>
      <c r="F23" s="53">
        <v>14823.09</v>
      </c>
      <c r="G23" s="53">
        <v>12891.71</v>
      </c>
      <c r="H23" s="74">
        <v>9733.56</v>
      </c>
      <c r="I23" s="53">
        <v>11464.37</v>
      </c>
      <c r="J23" s="74">
        <v>12119.52</v>
      </c>
      <c r="K23" s="53">
        <v>12328.19</v>
      </c>
      <c r="L23" s="9">
        <v>1075.85</v>
      </c>
      <c r="M23" s="10">
        <v>986.98</v>
      </c>
      <c r="N23" s="10">
        <v>1316.25</v>
      </c>
      <c r="O23" s="10">
        <v>1026.4</v>
      </c>
      <c r="P23" s="10">
        <v>863.29</v>
      </c>
      <c r="Q23" s="10">
        <v>1251.23</v>
      </c>
      <c r="R23" s="10">
        <v>1017.53</v>
      </c>
      <c r="S23" s="10">
        <v>1040.58</v>
      </c>
      <c r="T23" s="10">
        <v>855.22</v>
      </c>
      <c r="U23" s="10">
        <v>1283.78</v>
      </c>
      <c r="V23" s="10">
        <v>1134.98</v>
      </c>
      <c r="W23" s="19">
        <v>1109.49</v>
      </c>
      <c r="X23" s="63">
        <f t="shared" si="3"/>
        <v>12961.58</v>
      </c>
      <c r="Y23" s="83">
        <f t="shared" si="4"/>
        <v>101253.40999999999</v>
      </c>
    </row>
    <row r="24" spans="1:25" ht="24.75" customHeight="1" thickBot="1">
      <c r="A24" s="81" t="s">
        <v>38</v>
      </c>
      <c r="B24" s="34" t="s">
        <v>64</v>
      </c>
      <c r="C24" s="52">
        <v>1239.9</v>
      </c>
      <c r="D24" s="53">
        <v>5691.91</v>
      </c>
      <c r="E24" s="74">
        <v>6898.51</v>
      </c>
      <c r="F24" s="53">
        <v>1901.66</v>
      </c>
      <c r="G24" s="53">
        <v>1348.34</v>
      </c>
      <c r="H24" s="74">
        <v>2928.28</v>
      </c>
      <c r="I24" s="53">
        <v>1975.77</v>
      </c>
      <c r="J24" s="74">
        <v>1724.12</v>
      </c>
      <c r="K24" s="53">
        <v>1348.49</v>
      </c>
      <c r="L24" s="9">
        <v>106.33</v>
      </c>
      <c r="M24" s="10">
        <v>71.39</v>
      </c>
      <c r="N24" s="10">
        <v>50.69</v>
      </c>
      <c r="O24" s="10">
        <v>71.23</v>
      </c>
      <c r="P24" s="10">
        <v>66.14</v>
      </c>
      <c r="Q24" s="10">
        <v>78.87</v>
      </c>
      <c r="R24" s="10">
        <v>241.74</v>
      </c>
      <c r="S24" s="10">
        <v>61.74</v>
      </c>
      <c r="T24" s="10">
        <v>76.44</v>
      </c>
      <c r="U24" s="10">
        <v>66.2</v>
      </c>
      <c r="V24" s="10">
        <v>316.54</v>
      </c>
      <c r="W24" s="19">
        <v>100.73</v>
      </c>
      <c r="X24" s="63">
        <f t="shared" si="3"/>
        <v>1308.04</v>
      </c>
      <c r="Y24" s="83">
        <f t="shared" si="4"/>
        <v>26365.02</v>
      </c>
    </row>
    <row r="25" spans="1:25" ht="35.25" customHeight="1" thickBot="1">
      <c r="A25" s="81" t="s">
        <v>39</v>
      </c>
      <c r="B25" s="34" t="s">
        <v>66</v>
      </c>
      <c r="C25" s="52">
        <v>0</v>
      </c>
      <c r="D25" s="53">
        <v>4301.73</v>
      </c>
      <c r="E25" s="74">
        <v>10622.42</v>
      </c>
      <c r="F25" s="53">
        <v>9883.03</v>
      </c>
      <c r="G25" s="53">
        <v>13226.82</v>
      </c>
      <c r="H25" s="74">
        <v>11352.7</v>
      </c>
      <c r="I25" s="53">
        <v>14686.57</v>
      </c>
      <c r="J25" s="74">
        <v>12611.33</v>
      </c>
      <c r="K25" s="53">
        <v>12986.82</v>
      </c>
      <c r="L25" s="9">
        <f>53.22+380.61+588</f>
        <v>1021.83</v>
      </c>
      <c r="M25" s="10">
        <f>556.25+58.32+514.91</f>
        <v>1129.48</v>
      </c>
      <c r="N25" s="10">
        <f>565.44+57.82+558.81</f>
        <v>1182.0700000000002</v>
      </c>
      <c r="O25" s="10">
        <f>595.63+58.59+435.32</f>
        <v>1089.54</v>
      </c>
      <c r="P25" s="10">
        <f>722.17+52.64+339.72</f>
        <v>1114.53</v>
      </c>
      <c r="Q25" s="10">
        <f>579.98+49.38+324.17</f>
        <v>953.53</v>
      </c>
      <c r="R25" s="10">
        <f>55.55+376.6+731.72</f>
        <v>1163.8700000000001</v>
      </c>
      <c r="S25" s="10">
        <f>58.98+572.31+567.25</f>
        <v>1198.54</v>
      </c>
      <c r="T25" s="10">
        <f>660.9+46.4+442.62</f>
        <v>1149.92</v>
      </c>
      <c r="U25" s="10">
        <f>61.94+796.51+644.25</f>
        <v>1502.7</v>
      </c>
      <c r="V25" s="10">
        <f>50.76+444.29+922.95</f>
        <v>1418</v>
      </c>
      <c r="W25" s="19">
        <f>244.97+58.76+752.7</f>
        <v>1056.43</v>
      </c>
      <c r="X25" s="63">
        <f t="shared" si="3"/>
        <v>13980.44</v>
      </c>
      <c r="Y25" s="83">
        <f t="shared" si="4"/>
        <v>103651.85999999996</v>
      </c>
    </row>
    <row r="26" spans="1:25" ht="14.25" customHeight="1" thickBot="1">
      <c r="A26" s="81" t="s">
        <v>55</v>
      </c>
      <c r="B26" s="34" t="s">
        <v>10</v>
      </c>
      <c r="C26" s="52">
        <v>1188.81</v>
      </c>
      <c r="D26" s="53">
        <v>52917.69</v>
      </c>
      <c r="E26" s="74">
        <v>98594.1</v>
      </c>
      <c r="F26" s="53">
        <v>124151.4</v>
      </c>
      <c r="G26" s="53">
        <v>130982.7</v>
      </c>
      <c r="H26" s="74">
        <v>133577.81</v>
      </c>
      <c r="I26" s="53">
        <v>174095.45</v>
      </c>
      <c r="J26" s="74">
        <v>151545.83</v>
      </c>
      <c r="K26" s="53">
        <v>158126.73</v>
      </c>
      <c r="L26" s="9">
        <f>24764.28-11177.88</f>
        <v>13586.4</v>
      </c>
      <c r="M26" s="10">
        <f>23876.94-10760.85</f>
        <v>13116.089999999998</v>
      </c>
      <c r="N26" s="10">
        <f>24848.5-12437.96</f>
        <v>12410.54</v>
      </c>
      <c r="O26" s="10">
        <f>27177.85-13070.77</f>
        <v>14107.079999999998</v>
      </c>
      <c r="P26" s="10">
        <f>31356.92-17027.26</f>
        <v>14329.66</v>
      </c>
      <c r="Q26" s="10">
        <f>43767.44-27014.21</f>
        <v>16753.230000000003</v>
      </c>
      <c r="R26" s="10">
        <f>24385.81-11420.67</f>
        <v>12965.140000000001</v>
      </c>
      <c r="S26" s="10">
        <f>21313-8832.93</f>
        <v>12480.07</v>
      </c>
      <c r="T26" s="10">
        <f>20505.48-8881.53</f>
        <v>11623.949999999999</v>
      </c>
      <c r="U26" s="10">
        <f>30645.97-12976.35</f>
        <v>17669.620000000003</v>
      </c>
      <c r="V26" s="10">
        <f>28078.34-14259.01</f>
        <v>13819.33</v>
      </c>
      <c r="W26" s="19">
        <f>23872.25-9686.76-0.06</f>
        <v>14185.43</v>
      </c>
      <c r="X26" s="63">
        <f t="shared" si="3"/>
        <v>167046.53999999998</v>
      </c>
      <c r="Y26" s="83">
        <f t="shared" si="4"/>
        <v>1192227.06</v>
      </c>
    </row>
    <row r="27" spans="1:25" ht="16.5" customHeight="1" thickBot="1">
      <c r="A27" s="81" t="s">
        <v>56</v>
      </c>
      <c r="B27" s="35" t="s">
        <v>3</v>
      </c>
      <c r="C27" s="54">
        <v>719.31</v>
      </c>
      <c r="D27" s="55">
        <v>9984.21</v>
      </c>
      <c r="E27" s="75">
        <v>16341.43</v>
      </c>
      <c r="F27" s="55">
        <v>12096.32</v>
      </c>
      <c r="G27" s="55">
        <v>11582.86</v>
      </c>
      <c r="H27" s="75">
        <v>11118.17</v>
      </c>
      <c r="I27" s="55">
        <v>11364.12</v>
      </c>
      <c r="J27" s="75">
        <v>11133.31</v>
      </c>
      <c r="K27" s="55">
        <v>12201.47</v>
      </c>
      <c r="L27" s="11">
        <f>92.62+895.37</f>
        <v>987.99</v>
      </c>
      <c r="M27" s="12">
        <f>102.69+992.68</f>
        <v>1095.37</v>
      </c>
      <c r="N27" s="12">
        <f>95.68+924.95</f>
        <v>1020.6300000000001</v>
      </c>
      <c r="O27" s="12">
        <f>93.56+904.39</f>
        <v>997.95</v>
      </c>
      <c r="P27" s="12">
        <f>93.29+901.78</f>
        <v>995.0699999999999</v>
      </c>
      <c r="Q27" s="12">
        <f>98.73+954.42</f>
        <v>1053.1499999999999</v>
      </c>
      <c r="R27" s="12">
        <f>106.05+1025.12</f>
        <v>1131.1699999999998</v>
      </c>
      <c r="S27" s="12">
        <f>100.04+926.94</f>
        <v>1026.98</v>
      </c>
      <c r="T27" s="12">
        <f>23.24+877.44</f>
        <v>900.6800000000001</v>
      </c>
      <c r="U27" s="12">
        <f>24.61+928.3</f>
        <v>952.91</v>
      </c>
      <c r="V27" s="12">
        <f>25.26+953.89</f>
        <v>979.15</v>
      </c>
      <c r="W27" s="21">
        <f>23.8+900.04</f>
        <v>923.8399999999999</v>
      </c>
      <c r="X27" s="63">
        <f t="shared" si="3"/>
        <v>12064.89</v>
      </c>
      <c r="Y27" s="83">
        <f t="shared" si="4"/>
        <v>108606.08999999998</v>
      </c>
    </row>
    <row r="28" spans="1:25" ht="13.5" customHeight="1" thickBot="1">
      <c r="A28" s="81"/>
      <c r="B28" s="37" t="s">
        <v>60</v>
      </c>
      <c r="C28" s="66"/>
      <c r="D28" s="67"/>
      <c r="E28" s="76"/>
      <c r="F28" s="67"/>
      <c r="G28" s="67"/>
      <c r="H28" s="86">
        <f>H8*5%</f>
        <v>17752.125500000002</v>
      </c>
      <c r="I28" s="79">
        <f>I8*5%</f>
        <v>17731.219500000003</v>
      </c>
      <c r="J28" s="86">
        <f>J8*5%</f>
        <v>17725.938000000002</v>
      </c>
      <c r="K28" s="90">
        <f>SUM(K8+K9+K10)*5%</f>
        <v>19512.809</v>
      </c>
      <c r="L28" s="78">
        <f>SUM(L8+L9+L10)*5%</f>
        <v>1634.593</v>
      </c>
      <c r="M28" s="78">
        <f aca="true" t="shared" si="5" ref="M28:W28">SUM(M8+M9+M10)*5%</f>
        <v>1634.593</v>
      </c>
      <c r="N28" s="78">
        <f t="shared" si="5"/>
        <v>1634.593</v>
      </c>
      <c r="O28" s="78">
        <f t="shared" si="5"/>
        <v>1634.593</v>
      </c>
      <c r="P28" s="78">
        <f t="shared" si="5"/>
        <v>1634.593</v>
      </c>
      <c r="Q28" s="78">
        <f t="shared" si="5"/>
        <v>1634.593</v>
      </c>
      <c r="R28" s="78">
        <f t="shared" si="5"/>
        <v>1640.9635000000003</v>
      </c>
      <c r="S28" s="78">
        <f t="shared" si="5"/>
        <v>1540.307</v>
      </c>
      <c r="T28" s="78">
        <f t="shared" si="5"/>
        <v>1540.307</v>
      </c>
      <c r="U28" s="78">
        <f t="shared" si="5"/>
        <v>1540.307</v>
      </c>
      <c r="V28" s="78">
        <f t="shared" si="5"/>
        <v>1540.307</v>
      </c>
      <c r="W28" s="78">
        <f t="shared" si="5"/>
        <v>1568.633</v>
      </c>
      <c r="X28" s="79">
        <f t="shared" si="3"/>
        <v>19178.382500000003</v>
      </c>
      <c r="Y28" s="77"/>
    </row>
    <row r="29" spans="1:25" ht="13.5" customHeight="1" thickBot="1">
      <c r="A29" s="81" t="s">
        <v>40</v>
      </c>
      <c r="B29" s="37" t="s">
        <v>52</v>
      </c>
      <c r="C29" s="66"/>
      <c r="D29" s="67"/>
      <c r="E29" s="76"/>
      <c r="F29" s="67"/>
      <c r="G29" s="67"/>
      <c r="H29" s="76"/>
      <c r="I29" s="67"/>
      <c r="J29" s="76"/>
      <c r="K29" s="79">
        <f aca="true" t="shared" si="6" ref="K29:W29">SUM(K8+K9+K10-K11)-K28</f>
        <v>38978.251</v>
      </c>
      <c r="L29" s="80">
        <f t="shared" si="6"/>
        <v>6292.986999999998</v>
      </c>
      <c r="M29" s="80">
        <f t="shared" si="6"/>
        <v>7180.327000000006</v>
      </c>
      <c r="N29" s="80">
        <f t="shared" si="6"/>
        <v>6208.766999999997</v>
      </c>
      <c r="O29" s="80">
        <f t="shared" si="6"/>
        <v>3879.417000000002</v>
      </c>
      <c r="P29" s="80">
        <f t="shared" si="6"/>
        <v>-299.65299999999775</v>
      </c>
      <c r="Q29" s="80">
        <f t="shared" si="6"/>
        <v>-12710.173000000003</v>
      </c>
      <c r="R29" s="80">
        <f t="shared" si="6"/>
        <v>6792.496500000007</v>
      </c>
      <c r="S29" s="80">
        <f t="shared" si="6"/>
        <v>7952.833000000003</v>
      </c>
      <c r="T29" s="80">
        <f t="shared" si="6"/>
        <v>8760.353</v>
      </c>
      <c r="U29" s="80">
        <f t="shared" si="6"/>
        <v>-1380.1370000000054</v>
      </c>
      <c r="V29" s="80">
        <f t="shared" si="6"/>
        <v>1187.4929999999956</v>
      </c>
      <c r="W29" s="80">
        <f t="shared" si="6"/>
        <v>5931.837000000001</v>
      </c>
      <c r="X29" s="79">
        <f t="shared" si="3"/>
        <v>39796.5475</v>
      </c>
      <c r="Y29" s="57"/>
    </row>
    <row r="30" spans="1:25" ht="29.25" customHeight="1" thickBot="1">
      <c r="A30" s="99" t="s">
        <v>41</v>
      </c>
      <c r="B30" s="100" t="s">
        <v>24</v>
      </c>
      <c r="C30" s="101">
        <v>23479.41</v>
      </c>
      <c r="D30" s="100">
        <f>D8-D11</f>
        <v>43697.10999999996</v>
      </c>
      <c r="E30" s="93">
        <f>SUM(E8-E11)</f>
        <v>65806.22999999992</v>
      </c>
      <c r="F30" s="94">
        <f>SUM(F8-F11)</f>
        <v>113422.81000000003</v>
      </c>
      <c r="G30" s="94">
        <f>SUM(G8-G11)</f>
        <v>113886.19</v>
      </c>
      <c r="H30" s="102">
        <f>SUM(H8-H11)-H28</f>
        <v>95911.06450000001</v>
      </c>
      <c r="I30" s="103">
        <f>SUM(I8-I11)-I28</f>
        <v>-11777.229500000012</v>
      </c>
      <c r="J30" s="104">
        <f>SUM(J8-J11)-J28</f>
        <v>57793.74199999999</v>
      </c>
      <c r="K30" s="103">
        <f>SUM(K8+K9+K10-K11)-K28</f>
        <v>38978.251</v>
      </c>
      <c r="L30" s="102">
        <f>SUM(L8+L9+L10-L11)-L28</f>
        <v>6292.986999999998</v>
      </c>
      <c r="M30" s="103">
        <f>SUM(M29+L30)</f>
        <v>13473.314000000004</v>
      </c>
      <c r="N30" s="105">
        <f aca="true" t="shared" si="7" ref="N30:W30">SUM(N29+M30)</f>
        <v>19682.081000000002</v>
      </c>
      <c r="O30" s="106">
        <f t="shared" si="7"/>
        <v>23561.498000000003</v>
      </c>
      <c r="P30" s="106">
        <f t="shared" si="7"/>
        <v>23261.845000000005</v>
      </c>
      <c r="Q30" s="106">
        <f t="shared" si="7"/>
        <v>10551.672000000002</v>
      </c>
      <c r="R30" s="106">
        <f t="shared" si="7"/>
        <v>17344.168500000007</v>
      </c>
      <c r="S30" s="106">
        <f t="shared" si="7"/>
        <v>25297.00150000001</v>
      </c>
      <c r="T30" s="106">
        <f t="shared" si="7"/>
        <v>34057.35450000001</v>
      </c>
      <c r="U30" s="106">
        <f t="shared" si="7"/>
        <v>32677.217500000002</v>
      </c>
      <c r="V30" s="106">
        <f t="shared" si="7"/>
        <v>33864.7105</v>
      </c>
      <c r="W30" s="106">
        <f t="shared" si="7"/>
        <v>39796.5475</v>
      </c>
      <c r="X30" s="94"/>
      <c r="Y30" s="107"/>
    </row>
    <row r="31" spans="1:25" ht="5.25" customHeight="1" hidden="1" thickBot="1">
      <c r="A31" s="81" t="s">
        <v>42</v>
      </c>
      <c r="B31" s="36" t="s">
        <v>25</v>
      </c>
      <c r="C31" s="70">
        <v>23479.41</v>
      </c>
      <c r="D31" s="47">
        <f>C31+D30</f>
        <v>67176.51999999996</v>
      </c>
      <c r="E31" s="20">
        <f>SUM(E8-E11,D31)</f>
        <v>132982.74999999988</v>
      </c>
      <c r="F31" s="63">
        <f>SUM(F8-F11,E31)</f>
        <v>246405.5599999999</v>
      </c>
      <c r="G31" s="63">
        <f>SUM(G8-G11,F31)</f>
        <v>360291.7499999999</v>
      </c>
      <c r="H31" s="87">
        <f>SUM(H30+G31)</f>
        <v>456202.81449999986</v>
      </c>
      <c r="I31" s="79">
        <f>SUM(I30+H31)</f>
        <v>444425.58499999985</v>
      </c>
      <c r="J31" s="79">
        <f>SUM(J30+I31)</f>
        <v>502219.3269999998</v>
      </c>
      <c r="K31" s="79">
        <f>SUM(K30+J31)</f>
        <v>541197.5779999999</v>
      </c>
      <c r="L31" s="79">
        <f>SUM(L30+K31)</f>
        <v>547490.5649999998</v>
      </c>
      <c r="M31" s="111">
        <f>SUM(M29+L31)</f>
        <v>554670.8919999999</v>
      </c>
      <c r="N31" s="80">
        <f aca="true" t="shared" si="8" ref="N31:V31">SUM(N29+M31)</f>
        <v>560879.6589999999</v>
      </c>
      <c r="O31" s="80">
        <f t="shared" si="8"/>
        <v>564759.0759999999</v>
      </c>
      <c r="P31" s="80">
        <f t="shared" si="8"/>
        <v>564459.4229999998</v>
      </c>
      <c r="Q31" s="80">
        <f t="shared" si="8"/>
        <v>551749.2499999999</v>
      </c>
      <c r="R31" s="80">
        <f t="shared" si="8"/>
        <v>558541.7464999999</v>
      </c>
      <c r="S31" s="80">
        <f t="shared" si="8"/>
        <v>566494.5794999999</v>
      </c>
      <c r="T31" s="80">
        <f t="shared" si="8"/>
        <v>575254.9324999999</v>
      </c>
      <c r="U31" s="80">
        <f t="shared" si="8"/>
        <v>573874.7954999999</v>
      </c>
      <c r="V31" s="80">
        <f t="shared" si="8"/>
        <v>575062.2884999999</v>
      </c>
      <c r="W31" s="80">
        <f>SUM(W29+V31)</f>
        <v>580994.1255</v>
      </c>
      <c r="X31" s="63"/>
      <c r="Y31" s="57"/>
    </row>
    <row r="32" spans="1:25" ht="25.5" customHeight="1" hidden="1" thickBot="1">
      <c r="A32" s="40" t="s">
        <v>42</v>
      </c>
      <c r="B32" s="47" t="s">
        <v>8</v>
      </c>
      <c r="C32" s="43"/>
      <c r="D32" s="47"/>
      <c r="E32" s="47"/>
      <c r="F32" s="43"/>
      <c r="G32" s="43"/>
      <c r="H32" s="43"/>
      <c r="I32" s="43"/>
      <c r="J32" s="43"/>
      <c r="K32" s="43"/>
      <c r="L32" s="13"/>
      <c r="M32" s="16"/>
      <c r="N32" s="14"/>
      <c r="O32" s="14"/>
      <c r="P32" s="14"/>
      <c r="Q32" s="14"/>
      <c r="R32" s="14"/>
      <c r="S32" s="14"/>
      <c r="T32" s="14"/>
      <c r="U32" s="14"/>
      <c r="V32" s="14"/>
      <c r="W32" s="22"/>
      <c r="X32" s="63"/>
      <c r="Y32" s="59"/>
    </row>
    <row r="33" spans="1:25" ht="23.25" customHeight="1" hidden="1" thickBot="1">
      <c r="A33" s="40" t="s">
        <v>43</v>
      </c>
      <c r="B33" s="37" t="s">
        <v>51</v>
      </c>
      <c r="C33" s="44"/>
      <c r="D33" s="48"/>
      <c r="E33" s="48"/>
      <c r="F33" s="44"/>
      <c r="G33" s="44"/>
      <c r="H33" s="44"/>
      <c r="I33" s="44"/>
      <c r="J33" s="44"/>
      <c r="K33" s="44"/>
      <c r="L33" s="15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23"/>
      <c r="X33" s="64"/>
      <c r="Y33" s="58"/>
    </row>
    <row r="34" spans="1:25" ht="14.25" customHeight="1" hidden="1" thickBot="1">
      <c r="A34" s="41" t="s">
        <v>44</v>
      </c>
      <c r="B34" s="38" t="s">
        <v>49</v>
      </c>
      <c r="C34" s="45"/>
      <c r="D34" s="49"/>
      <c r="E34" s="49"/>
      <c r="F34" s="45"/>
      <c r="G34" s="45"/>
      <c r="H34" s="45"/>
      <c r="I34" s="45"/>
      <c r="J34" s="45"/>
      <c r="K34" s="45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8">
        <f>SUM(W30-W32)</f>
        <v>39796.5475</v>
      </c>
      <c r="X34" s="65"/>
      <c r="Y34" s="60"/>
    </row>
    <row r="35" spans="1:25" ht="0.75" customHeight="1" hidden="1" thickBot="1">
      <c r="A35" s="41" t="s">
        <v>48</v>
      </c>
      <c r="B35" s="38" t="s">
        <v>26</v>
      </c>
      <c r="C35" s="45"/>
      <c r="D35" s="49"/>
      <c r="E35" s="49"/>
      <c r="F35" s="45"/>
      <c r="G35" s="45"/>
      <c r="H35" s="45"/>
      <c r="I35" s="45"/>
      <c r="J35" s="45"/>
      <c r="K35" s="45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8">
        <f>SUM(W31-W32)</f>
        <v>580994.1255</v>
      </c>
      <c r="X35" s="65"/>
      <c r="Y35" s="60"/>
    </row>
    <row r="36" spans="3:25" ht="8.25" customHeight="1" hidden="1">
      <c r="C36" s="24"/>
      <c r="D36" s="24"/>
      <c r="E36" s="24"/>
      <c r="F36" s="24"/>
      <c r="G36" s="24"/>
      <c r="H36" s="24"/>
      <c r="I36" s="24"/>
      <c r="J36" s="24"/>
      <c r="K36" s="24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</row>
    <row r="37" ht="12" customHeight="1">
      <c r="B37" t="s">
        <v>65</v>
      </c>
    </row>
    <row r="38" ht="1.5" customHeight="1" hidden="1"/>
    <row r="39" ht="12.75" hidden="1"/>
    <row r="40" ht="12.75" hidden="1"/>
    <row r="42" ht="12" customHeight="1"/>
    <row r="43" ht="3" customHeight="1" hidden="1"/>
    <row r="44" spans="3:16" ht="12.75" hidden="1">
      <c r="C44">
        <f>C8-C11</f>
        <v>23479.410000000003</v>
      </c>
      <c r="D44" s="71">
        <f>D8-D11</f>
        <v>43697.10999999996</v>
      </c>
      <c r="E44">
        <f>E8-E11</f>
        <v>65806.22999999992</v>
      </c>
      <c r="L44">
        <f>L8-L11</f>
        <v>-38.9800000000032</v>
      </c>
      <c r="M44">
        <f>M8-M11</f>
        <v>848.3600000000042</v>
      </c>
      <c r="N44">
        <f>N8-N11</f>
        <v>-123.20000000000437</v>
      </c>
      <c r="O44">
        <f>O8-O11</f>
        <v>-2452.5499999999993</v>
      </c>
      <c r="P44">
        <f>SUM(C44:O44)</f>
        <v>131216.3799999999</v>
      </c>
    </row>
    <row r="45" ht="12.75" customHeight="1" hidden="1"/>
    <row r="46" ht="12.75" customHeight="1"/>
  </sheetData>
  <sheetProtection/>
  <mergeCells count="5">
    <mergeCell ref="B4:Y4"/>
    <mergeCell ref="B5:Y5"/>
    <mergeCell ref="B3:Y3"/>
    <mergeCell ref="B1:N1"/>
    <mergeCell ref="B2:V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2019-02-11T07:39:03Z</cp:lastPrinted>
  <dcterms:created xsi:type="dcterms:W3CDTF">2011-06-16T11:06:26Z</dcterms:created>
  <dcterms:modified xsi:type="dcterms:W3CDTF">2019-02-12T13:10:54Z</dcterms:modified>
  <cp:category/>
  <cp:version/>
  <cp:contentType/>
  <cp:contentStatus/>
</cp:coreProperties>
</file>