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<sst xmlns="http://schemas.openxmlformats.org/spreadsheetml/2006/main" count="79" uniqueCount="78">
  <si>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</si>
  <si>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</si>
  <si>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</si>
  <si>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</si>
  <si>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</si>
  <si>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</si>
  <si>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</si>
  <si>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</si>
  <si>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</si>
  <si>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</si>
  <si>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</si>
  <si>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</si>
  <si>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</si>
  <si>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</si>
  <si>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</si>
  <si>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</si>
  <si>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</si>
  <si>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</si>
  <si>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</si>
  <si>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</si>
  <si>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</si>
  <si>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</si>
  <si>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</si>
  <si>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Задолженность на 01.05.2011г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</si>
  <si>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</si>
  <si>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</si>
  <si>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</si>
  <si>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</si>
  <si>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</si>
  <si>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</si>
  <si>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</si>
  <si>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</si>
  <si>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</si>
  <si>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</si>
  <si>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</si>
  <si>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</si>
  <si>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</si>
  <si>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</si>
  <si>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</si>
  <si>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</si>
  <si>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</si>
  <si>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</si>
  <si>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</si>
  <si>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</si>
  <si>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Итого  за 2011 г</t>
  </si>
  <si>
    <t>Результат за месяц</t>
  </si>
  <si>
    <t>Дом по ул.Ленина д.85 вступил в ООО "Наш дом" с октября 2009 года                           тариф 9,2 руб</t>
  </si>
  <si>
    <t>Итого  за 2012 г</t>
  </si>
  <si>
    <t>Благоустройство территории</t>
  </si>
  <si>
    <t>Финансовый результат по дому с начала года по оплате</t>
  </si>
  <si>
    <t>Финансовый результат по дому с начала деятельности по оплате</t>
  </si>
  <si>
    <t>Материалы</t>
  </si>
  <si>
    <t>4.12</t>
  </si>
  <si>
    <t>4.14</t>
  </si>
  <si>
    <t>4.15</t>
  </si>
  <si>
    <t>Итого  за 2013 г</t>
  </si>
  <si>
    <t>Итого  за 2014 г</t>
  </si>
  <si>
    <t>рентабельность 5%</t>
  </si>
  <si>
    <t>Итого 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</si>
  <si>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</si>
  <si>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</si>
  <si>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</si>
  <si>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Проверка вент.каналов</t>
  </si>
  <si>
    <t>4.6</t>
  </si>
  <si>
    <t xml:space="preserve">Фин.результат с начала года </t>
  </si>
  <si>
    <t>Фин.результат с начала деятельности</t>
  </si>
  <si>
    <t>Исполнитель вед. экономист  /Викторова Л.С./</t>
  </si>
  <si>
    <t>Итого  за 2016 г</t>
  </si>
  <si>
    <t>Итого  за 2017 г</t>
  </si>
  <si>
    <t>Начислено  СОИД</t>
  </si>
  <si>
    <t>Электроэнергия 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</si>
  <si>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</si>
  <si>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</si>
  <si>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</si>
  <si>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Транспортные(ГСМ,зап.части,амортизация,страхован)</t>
  </si>
  <si>
    <t xml:space="preserve">     о поступлении   и   расходовании   денежных   средств  по  услуге   содержание   и   техническое обслуживание   по жилому дому   г.Унеча ул.Ленина д.85                                                                                                                </t>
  </si>
  <si>
    <t>Итого 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</si>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</sst>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1" fillId="2" borderId="36" xfId="0" applyFont="1" applyFill="1" applyBorder="1" applyAlignment="1">
      <alignment/>
    </xf>
    <xf numFmtId="2" fontId="21" fillId="0" borderId="35" xfId="0" applyNumberFormat="1" applyFont="1" applyBorder="1" applyAlignment="1">
      <alignment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51" xfId="0" applyNumberFormat="1" applyFont="1" applyBorder="1" applyAlignment="1">
      <alignment horizontal="right" wrapText="1"/>
    </xf>
    <xf numFmtId="0" fontId="26" fillId="0" borderId="38" xfId="0" applyFont="1" applyBorder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7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8" fillId="0" borderId="35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2" fontId="28" fillId="0" borderId="23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B10">
      <selection activeCell="O21" sqref="O21"/>
    </sheetView>
  </sheetViews>
  <sheetFormatPr defaultColWidth="9.00390625" defaultRowHeight="12.75"/>
  <cols>
    <col min="1" max="1" width="3.25390625" style="26" hidden="1" customWidth="1"/>
    <col min="2" max="2" width="19.875" style="0" customWidth="1"/>
    <col min="3" max="3" width="7.625" style="0" hidden="1" customWidth="1"/>
    <col min="4" max="4" width="8.875" style="0" hidden="1" customWidth="1"/>
    <col min="5" max="5" width="7.125" style="0" hidden="1" customWidth="1"/>
    <col min="6" max="6" width="10.00390625" style="0" hidden="1" customWidth="1"/>
    <col min="7" max="7" width="9.25390625" style="0" hidden="1" customWidth="1"/>
    <col min="8" max="8" width="8.625" style="0" hidden="1" customWidth="1"/>
    <col min="9" max="9" width="10.375" style="0" hidden="1" customWidth="1"/>
    <col min="10" max="10" width="9.375" style="0" hidden="1" customWidth="1"/>
    <col min="11" max="11" width="9.125" style="0" hidden="1" customWidth="1"/>
    <col min="12" max="12" width="9.125" style="0" customWidth="1"/>
    <col min="13" max="13" width="8.75390625" style="0" customWidth="1"/>
    <col min="14" max="14" width="9.625" style="0" customWidth="1"/>
    <col min="15" max="15" width="8.75390625" style="0" customWidth="1"/>
    <col min="16" max="16" width="9.00390625" style="0" customWidth="1"/>
    <col min="17" max="17" width="9.625" style="0" customWidth="1"/>
    <col min="18" max="18" width="8.875" style="0" customWidth="1"/>
    <col min="19" max="19" width="8.625" style="0" customWidth="1"/>
    <col min="20" max="20" width="9.00390625" style="0" customWidth="1"/>
    <col min="21" max="22" width="8.625" style="0" customWidth="1"/>
    <col min="23" max="24" width="8.875" style="0" customWidth="1"/>
    <col min="25" max="25" width="10.125" style="0" customWidth="1"/>
  </cols>
  <sheetData>
    <row r="1" spans="2:30" ht="12.75" customHeight="1">
      <c r="B1" s="101" t="s">
        <v>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1" t="s">
        <v>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4"/>
      <c r="W2" s="4"/>
      <c r="X2" s="4"/>
      <c r="Y2" s="4"/>
      <c r="Z2" s="4"/>
      <c r="AA2" s="4"/>
      <c r="AB2" s="4"/>
      <c r="AC2" s="4"/>
      <c r="AD2" s="4"/>
    </row>
    <row r="3" spans="2:30" ht="15" customHeight="1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3"/>
      <c r="AA3" s="3"/>
      <c r="AB3" s="3"/>
      <c r="AC3" s="3"/>
      <c r="AD3" s="3"/>
    </row>
    <row r="4" spans="2:30" ht="24" customHeight="1">
      <c r="B4" s="99" t="s">
        <v>75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2"/>
      <c r="AA4" s="2"/>
      <c r="AB4" s="2"/>
      <c r="AC4" s="2"/>
      <c r="AD4" s="2"/>
    </row>
    <row r="5" spans="2:30" ht="0.75" customHeight="1" thickBo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2"/>
      <c r="AA5" s="2"/>
      <c r="AB5" s="2"/>
      <c r="AC5" s="2"/>
      <c r="AD5" s="2"/>
    </row>
    <row r="6" spans="2:30" ht="18.7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27.75" customHeight="1" thickBot="1">
      <c r="A7" s="35" t="s">
        <v>24</v>
      </c>
      <c r="B7" s="27" t="s">
        <v>7</v>
      </c>
      <c r="C7" s="38" t="s">
        <v>41</v>
      </c>
      <c r="D7" s="42" t="s">
        <v>42</v>
      </c>
      <c r="E7" s="56" t="s">
        <v>44</v>
      </c>
      <c r="F7" s="56" t="s">
        <v>47</v>
      </c>
      <c r="G7" s="56" t="s">
        <v>55</v>
      </c>
      <c r="H7" s="82" t="s">
        <v>56</v>
      </c>
      <c r="I7" s="56" t="s">
        <v>58</v>
      </c>
      <c r="J7" s="56" t="s">
        <v>67</v>
      </c>
      <c r="K7" s="56" t="s">
        <v>68</v>
      </c>
      <c r="L7" s="6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22</v>
      </c>
      <c r="W7" s="15" t="s">
        <v>21</v>
      </c>
      <c r="X7" s="56" t="s">
        <v>76</v>
      </c>
      <c r="Y7" s="88" t="s">
        <v>77</v>
      </c>
      <c r="Z7" s="1"/>
      <c r="AA7" s="1"/>
      <c r="AB7" s="1"/>
      <c r="AC7" s="1"/>
      <c r="AD7" s="1"/>
    </row>
    <row r="8" spans="1:25" ht="13.5" thickBot="1">
      <c r="A8" s="36" t="s">
        <v>25</v>
      </c>
      <c r="B8" s="28" t="s">
        <v>1</v>
      </c>
      <c r="C8" s="64">
        <v>66772.68</v>
      </c>
      <c r="D8" s="65">
        <v>266252.6</v>
      </c>
      <c r="E8" s="68">
        <v>264651.8</v>
      </c>
      <c r="F8" s="65">
        <v>266957.32</v>
      </c>
      <c r="G8" s="65">
        <v>266410.84</v>
      </c>
      <c r="H8" s="68">
        <v>266066.76</v>
      </c>
      <c r="I8" s="65">
        <v>265872.64</v>
      </c>
      <c r="J8" s="65">
        <v>265707.04</v>
      </c>
      <c r="K8" s="65">
        <v>265559.84</v>
      </c>
      <c r="L8" s="7">
        <v>22218</v>
      </c>
      <c r="M8" s="7">
        <v>22218</v>
      </c>
      <c r="N8" s="7">
        <v>22206.96</v>
      </c>
      <c r="O8" s="7">
        <v>22194.08</v>
      </c>
      <c r="P8" s="7">
        <v>22194.08</v>
      </c>
      <c r="Q8" s="7">
        <v>22194.08</v>
      </c>
      <c r="R8" s="8">
        <v>22194.08</v>
      </c>
      <c r="S8" s="8">
        <v>22194.08</v>
      </c>
      <c r="T8" s="8">
        <v>22194.08</v>
      </c>
      <c r="U8" s="8">
        <v>22194.08</v>
      </c>
      <c r="V8" s="8">
        <v>22194.08</v>
      </c>
      <c r="W8" s="8">
        <v>22186.72</v>
      </c>
      <c r="X8" s="57">
        <f>SUM(L8:W8)</f>
        <v>266382.32000000007</v>
      </c>
      <c r="Y8" s="79">
        <f>SUM(C8:W8)</f>
        <v>2460633.840000001</v>
      </c>
    </row>
    <row r="9" spans="1:25" ht="13.5" thickBot="1">
      <c r="A9" s="36"/>
      <c r="B9" s="28" t="s">
        <v>69</v>
      </c>
      <c r="C9" s="64"/>
      <c r="D9" s="87"/>
      <c r="E9" s="68"/>
      <c r="F9" s="87"/>
      <c r="G9" s="87"/>
      <c r="H9" s="68"/>
      <c r="I9" s="87"/>
      <c r="J9" s="87"/>
      <c r="K9" s="87">
        <v>53018.03</v>
      </c>
      <c r="L9" s="7">
        <f>2853.62+189.34+275.47+843.36</f>
        <v>4161.79</v>
      </c>
      <c r="M9" s="7">
        <f>2853.62+189.34+275.47+843.36</f>
        <v>4161.79</v>
      </c>
      <c r="N9" s="7">
        <f>2853.69+189.39+275.48+843.36</f>
        <v>4161.92</v>
      </c>
      <c r="O9" s="7">
        <f>2853.69+189.39+275.48+843.36</f>
        <v>4161.92</v>
      </c>
      <c r="P9" s="7">
        <f>2853.69+189.39+275.48+843.36</f>
        <v>4161.92</v>
      </c>
      <c r="Q9" s="7">
        <f>2853.6+189.45+275.55+843.47</f>
        <v>4162.07</v>
      </c>
      <c r="R9" s="8">
        <f>2995.06+190.54+277.85+870.87</f>
        <v>4334.32</v>
      </c>
      <c r="S9" s="8">
        <f>190.54+277.85+870.87</f>
        <v>1339.26</v>
      </c>
      <c r="T9" s="8">
        <f>190.54+277.85+870.87+1507.4</f>
        <v>2846.66</v>
      </c>
      <c r="U9" s="8">
        <f>190.54+277.85+870.87+753.7</f>
        <v>2092.96</v>
      </c>
      <c r="V9" s="8">
        <f>190.54+277.85+870.87+753.7</f>
        <v>2092.96</v>
      </c>
      <c r="W9" s="8">
        <f>190.6+277.84+870.83</f>
        <v>1339.27</v>
      </c>
      <c r="X9" s="57">
        <f>SUM(L9:W9)</f>
        <v>39016.83999999999</v>
      </c>
      <c r="Y9" s="79">
        <f>SUM(C9:W9)</f>
        <v>92034.87000000002</v>
      </c>
    </row>
    <row r="10" spans="1:25" s="98" customFormat="1" ht="15.75" customHeight="1" thickBot="1">
      <c r="A10" s="90" t="s">
        <v>26</v>
      </c>
      <c r="B10" s="91" t="s">
        <v>2</v>
      </c>
      <c r="C10" s="92">
        <f aca="true" t="shared" si="0" ref="C10:L10">SUM(C11:C26)</f>
        <v>48701.40000000001</v>
      </c>
      <c r="D10" s="93">
        <f t="shared" si="0"/>
        <v>230803.27999999997</v>
      </c>
      <c r="E10" s="92">
        <f t="shared" si="0"/>
        <v>272402.42</v>
      </c>
      <c r="F10" s="93">
        <f t="shared" si="0"/>
        <v>270795.22</v>
      </c>
      <c r="G10" s="93">
        <f t="shared" si="0"/>
        <v>277125.46</v>
      </c>
      <c r="H10" s="94">
        <f>SUM(H11:H26)</f>
        <v>274918.13</v>
      </c>
      <c r="I10" s="93">
        <f>SUM(I11:I26)</f>
        <v>338039.58999999997</v>
      </c>
      <c r="J10" s="95">
        <f>SUM(J11:J26)-1347.4</f>
        <v>261626.98999999996</v>
      </c>
      <c r="K10" s="93">
        <f>SUM(K11:K26)</f>
        <v>337684.0800000001</v>
      </c>
      <c r="L10" s="96">
        <f t="shared" si="0"/>
        <v>28148.1</v>
      </c>
      <c r="M10" s="96">
        <f aca="true" t="shared" si="1" ref="M10:W10">SUM(M11:M26)</f>
        <v>27548.640000000003</v>
      </c>
      <c r="N10" s="96">
        <f t="shared" si="1"/>
        <v>27476.859999999997</v>
      </c>
      <c r="O10" s="96">
        <f t="shared" si="1"/>
        <v>26412.310000000005</v>
      </c>
      <c r="P10" s="96">
        <f t="shared" si="1"/>
        <v>27111.220000000005</v>
      </c>
      <c r="Q10" s="96">
        <f t="shared" si="1"/>
        <v>27519.849999999995</v>
      </c>
      <c r="R10" s="96">
        <f t="shared" si="1"/>
        <v>28047.189999999995</v>
      </c>
      <c r="S10" s="96">
        <f t="shared" si="1"/>
        <v>31835.650000000005</v>
      </c>
      <c r="T10" s="96">
        <f t="shared" si="1"/>
        <v>27001.86</v>
      </c>
      <c r="U10" s="96">
        <f t="shared" si="1"/>
        <v>24053.11</v>
      </c>
      <c r="V10" s="96">
        <f t="shared" si="1"/>
        <v>25225.889999999996</v>
      </c>
      <c r="W10" s="92">
        <f t="shared" si="1"/>
        <v>27686.86</v>
      </c>
      <c r="X10" s="93">
        <f>SUM(L10:W10)</f>
        <v>328067.54</v>
      </c>
      <c r="Y10" s="97">
        <f>SUM(C10:W10)</f>
        <v>2640164.1100000003</v>
      </c>
    </row>
    <row r="11" spans="1:25" ht="13.5" thickBot="1">
      <c r="A11" s="36" t="s">
        <v>27</v>
      </c>
      <c r="B11" s="30" t="s">
        <v>4</v>
      </c>
      <c r="C11" s="46">
        <v>16651.29</v>
      </c>
      <c r="D11" s="47">
        <v>67779.04</v>
      </c>
      <c r="E11" s="69">
        <v>74539.3</v>
      </c>
      <c r="F11" s="47">
        <v>76336.86</v>
      </c>
      <c r="G11" s="47">
        <v>84702.44</v>
      </c>
      <c r="H11" s="69">
        <v>92421.75</v>
      </c>
      <c r="I11" s="47">
        <v>85944.57</v>
      </c>
      <c r="J11" s="47">
        <v>81431.75</v>
      </c>
      <c r="K11" s="47">
        <v>83275.39</v>
      </c>
      <c r="L11" s="7">
        <f>6625+258.93</f>
        <v>6883.93</v>
      </c>
      <c r="M11" s="8">
        <f>6466+277.77</f>
        <v>6743.77</v>
      </c>
      <c r="N11" s="8">
        <f>6466+197.25</f>
        <v>6663.25</v>
      </c>
      <c r="O11" s="8">
        <f>6466+555.68</f>
        <v>7021.68</v>
      </c>
      <c r="P11" s="8">
        <f>6042+519.2</f>
        <v>6561.2</v>
      </c>
      <c r="Q11" s="8">
        <f>6466+533.26</f>
        <v>6999.26</v>
      </c>
      <c r="R11" s="8">
        <f>6466+455.04</f>
        <v>6921.04</v>
      </c>
      <c r="S11" s="8">
        <f>6519+579.63</f>
        <v>7098.63</v>
      </c>
      <c r="T11" s="8">
        <f>6519+430.85</f>
        <v>6949.85</v>
      </c>
      <c r="U11" s="8">
        <f>6519+349.59</f>
        <v>6868.59</v>
      </c>
      <c r="V11" s="8">
        <f>6466+402.81</f>
        <v>6868.81</v>
      </c>
      <c r="W11" s="16">
        <f>6413+367.46</f>
        <v>6780.46</v>
      </c>
      <c r="X11" s="58">
        <f aca="true" t="shared" si="2" ref="X11:X28">SUM(L11:W11)</f>
        <v>82360.47</v>
      </c>
      <c r="Y11" s="80">
        <f aca="true" t="shared" si="3" ref="Y11:Y26">SUM(C11:W11)</f>
        <v>745442.8600000001</v>
      </c>
    </row>
    <row r="12" spans="1:25" ht="13.5" customHeight="1" thickBot="1">
      <c r="A12" s="36" t="s">
        <v>28</v>
      </c>
      <c r="B12" s="31" t="s">
        <v>59</v>
      </c>
      <c r="C12" s="48">
        <v>22100.37</v>
      </c>
      <c r="D12" s="49">
        <v>69816.5</v>
      </c>
      <c r="E12" s="70">
        <v>22285.94</v>
      </c>
      <c r="F12" s="49">
        <f>13528.72+2408</f>
        <v>15936.72</v>
      </c>
      <c r="G12" s="49">
        <v>2466.46</v>
      </c>
      <c r="H12" s="70"/>
      <c r="I12" s="49">
        <v>9566.77</v>
      </c>
      <c r="J12" s="49">
        <v>217.25</v>
      </c>
      <c r="K12" s="49">
        <v>2400</v>
      </c>
      <c r="L12" s="9"/>
      <c r="M12" s="10"/>
      <c r="N12" s="10">
        <v>210</v>
      </c>
      <c r="O12" s="10"/>
      <c r="P12" s="10">
        <v>200</v>
      </c>
      <c r="Q12" s="10"/>
      <c r="R12" s="10"/>
      <c r="S12" s="10"/>
      <c r="T12" s="10"/>
      <c r="U12" s="10"/>
      <c r="V12" s="10"/>
      <c r="W12" s="17"/>
      <c r="X12" s="58">
        <f t="shared" si="2"/>
        <v>410</v>
      </c>
      <c r="Y12" s="80">
        <f t="shared" si="3"/>
        <v>145200.00999999998</v>
      </c>
    </row>
    <row r="13" spans="1:25" ht="21.75" customHeight="1" thickBot="1">
      <c r="A13" s="36" t="s">
        <v>29</v>
      </c>
      <c r="B13" s="29" t="s">
        <v>5</v>
      </c>
      <c r="C13" s="48">
        <v>0</v>
      </c>
      <c r="D13" s="49">
        <v>0</v>
      </c>
      <c r="E13" s="70">
        <v>1835.14</v>
      </c>
      <c r="F13" s="49">
        <v>0</v>
      </c>
      <c r="G13" s="49">
        <v>0</v>
      </c>
      <c r="H13" s="70"/>
      <c r="I13" s="49">
        <v>11952.5</v>
      </c>
      <c r="J13" s="49">
        <v>0</v>
      </c>
      <c r="K13" s="49">
        <v>0</v>
      </c>
      <c r="L13" s="9"/>
      <c r="M13" s="10"/>
      <c r="N13" s="10"/>
      <c r="O13" s="10"/>
      <c r="P13" s="10"/>
      <c r="Q13" s="10"/>
      <c r="R13" s="10"/>
      <c r="S13" s="10">
        <v>7504.75</v>
      </c>
      <c r="T13" s="10"/>
      <c r="U13" s="10"/>
      <c r="V13" s="10"/>
      <c r="W13" s="17"/>
      <c r="X13" s="58">
        <f t="shared" si="2"/>
        <v>7504.75</v>
      </c>
      <c r="Y13" s="80">
        <f t="shared" si="3"/>
        <v>21292.39</v>
      </c>
    </row>
    <row r="14" spans="1:25" ht="15.75" customHeight="1" thickBot="1">
      <c r="A14" s="36" t="s">
        <v>30</v>
      </c>
      <c r="B14" s="31" t="s">
        <v>51</v>
      </c>
      <c r="C14" s="48">
        <v>2478.03</v>
      </c>
      <c r="D14" s="49">
        <v>6105.04</v>
      </c>
      <c r="E14" s="70">
        <v>16264.32</v>
      </c>
      <c r="F14" s="49">
        <v>6876</v>
      </c>
      <c r="G14" s="49">
        <v>17147.31</v>
      </c>
      <c r="H14" s="70">
        <v>7520.3</v>
      </c>
      <c r="I14" s="49">
        <v>41035.72</v>
      </c>
      <c r="J14" s="49">
        <v>5420.06</v>
      </c>
      <c r="K14" s="49">
        <v>14494.21</v>
      </c>
      <c r="L14" s="9">
        <v>203</v>
      </c>
      <c r="M14" s="10">
        <v>240</v>
      </c>
      <c r="N14" s="10">
        <v>180</v>
      </c>
      <c r="O14" s="10">
        <v>225</v>
      </c>
      <c r="P14" s="10">
        <v>602.9</v>
      </c>
      <c r="Q14" s="10">
        <v>470.9</v>
      </c>
      <c r="R14" s="10">
        <v>502.95</v>
      </c>
      <c r="S14" s="10">
        <v>180</v>
      </c>
      <c r="T14" s="10">
        <v>180</v>
      </c>
      <c r="U14" s="10">
        <v>165</v>
      </c>
      <c r="V14" s="10">
        <v>270</v>
      </c>
      <c r="W14" s="17">
        <v>1850</v>
      </c>
      <c r="X14" s="58">
        <f t="shared" si="2"/>
        <v>5069.75</v>
      </c>
      <c r="Y14" s="80">
        <f t="shared" si="3"/>
        <v>122410.73999999998</v>
      </c>
    </row>
    <row r="15" spans="1:25" ht="12.75" customHeight="1" thickBot="1">
      <c r="A15" s="36" t="s">
        <v>63</v>
      </c>
      <c r="B15" s="31" t="s">
        <v>62</v>
      </c>
      <c r="C15" s="48"/>
      <c r="D15" s="49"/>
      <c r="E15" s="70"/>
      <c r="F15" s="49"/>
      <c r="G15" s="49"/>
      <c r="H15" s="70"/>
      <c r="I15" s="49">
        <v>1500</v>
      </c>
      <c r="J15" s="49">
        <v>4350</v>
      </c>
      <c r="K15" s="49">
        <v>4400</v>
      </c>
      <c r="L15" s="9"/>
      <c r="M15" s="10"/>
      <c r="N15" s="10"/>
      <c r="O15" s="10"/>
      <c r="P15" s="10"/>
      <c r="Q15" s="10"/>
      <c r="R15" s="10"/>
      <c r="S15" s="10"/>
      <c r="T15" s="10">
        <v>3600</v>
      </c>
      <c r="U15" s="10"/>
      <c r="V15" s="10"/>
      <c r="W15" s="17"/>
      <c r="X15" s="58">
        <f>SUM(L15:W15)</f>
        <v>3600</v>
      </c>
      <c r="Y15" s="80">
        <f>SUM(C15:W15)</f>
        <v>13850</v>
      </c>
    </row>
    <row r="16" spans="1:25" ht="22.5" customHeight="1" thickBot="1">
      <c r="A16" s="36" t="s">
        <v>31</v>
      </c>
      <c r="B16" s="31" t="s">
        <v>48</v>
      </c>
      <c r="C16" s="48">
        <v>0</v>
      </c>
      <c r="D16" s="49">
        <v>0</v>
      </c>
      <c r="E16" s="70">
        <v>0</v>
      </c>
      <c r="F16" s="49">
        <v>256</v>
      </c>
      <c r="G16" s="49">
        <v>0</v>
      </c>
      <c r="H16" s="70">
        <v>70.28</v>
      </c>
      <c r="I16" s="49">
        <v>952.96</v>
      </c>
      <c r="J16" s="49">
        <v>186</v>
      </c>
      <c r="K16" s="49">
        <v>287.32</v>
      </c>
      <c r="L16" s="9">
        <v>14</v>
      </c>
      <c r="M16" s="10">
        <v>78</v>
      </c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58">
        <f t="shared" si="2"/>
        <v>92</v>
      </c>
      <c r="Y16" s="80">
        <f t="shared" si="3"/>
        <v>1844.56</v>
      </c>
    </row>
    <row r="17" spans="1:25" ht="12" customHeight="1" thickBot="1">
      <c r="A17" s="36" t="s">
        <v>32</v>
      </c>
      <c r="B17" s="31" t="s">
        <v>70</v>
      </c>
      <c r="C17" s="48">
        <v>3894.43</v>
      </c>
      <c r="D17" s="49">
        <v>11520.18</v>
      </c>
      <c r="E17" s="70">
        <v>13592.73</v>
      </c>
      <c r="F17" s="49">
        <v>7598.53</v>
      </c>
      <c r="G17" s="49">
        <v>0</v>
      </c>
      <c r="H17" s="70"/>
      <c r="I17" s="49">
        <v>0</v>
      </c>
      <c r="J17" s="49">
        <v>0</v>
      </c>
      <c r="K17" s="49">
        <v>37084.82</v>
      </c>
      <c r="L17" s="9">
        <v>2853.62</v>
      </c>
      <c r="M17" s="9">
        <v>2853.62</v>
      </c>
      <c r="N17" s="9">
        <v>2853.69</v>
      </c>
      <c r="O17" s="9">
        <v>2853.69</v>
      </c>
      <c r="P17" s="9">
        <v>2853.69</v>
      </c>
      <c r="Q17" s="9">
        <v>2853.6</v>
      </c>
      <c r="R17" s="10">
        <v>2995.06</v>
      </c>
      <c r="S17" s="10"/>
      <c r="T17" s="10"/>
      <c r="U17" s="10"/>
      <c r="V17" s="10"/>
      <c r="W17" s="17"/>
      <c r="X17" s="58">
        <f t="shared" si="2"/>
        <v>20116.97</v>
      </c>
      <c r="Y17" s="80">
        <f t="shared" si="3"/>
        <v>93807.66</v>
      </c>
    </row>
    <row r="18" spans="1:25" ht="12" customHeight="1" thickBot="1">
      <c r="A18" s="36"/>
      <c r="B18" s="31" t="s">
        <v>72</v>
      </c>
      <c r="C18" s="48"/>
      <c r="D18" s="49"/>
      <c r="E18" s="70"/>
      <c r="F18" s="49"/>
      <c r="G18" s="49"/>
      <c r="H18" s="70"/>
      <c r="I18" s="49"/>
      <c r="J18" s="49"/>
      <c r="K18" s="49">
        <v>2206.98</v>
      </c>
      <c r="L18" s="9">
        <v>189.41</v>
      </c>
      <c r="M18" s="9">
        <v>189.41</v>
      </c>
      <c r="N18" s="9">
        <v>189.41</v>
      </c>
      <c r="O18" s="9">
        <v>189.41</v>
      </c>
      <c r="P18" s="9">
        <v>189.41</v>
      </c>
      <c r="Q18" s="9">
        <v>189.41</v>
      </c>
      <c r="R18" s="10">
        <v>190.58</v>
      </c>
      <c r="S18" s="10">
        <v>190.58</v>
      </c>
      <c r="T18" s="10">
        <v>190.58</v>
      </c>
      <c r="U18" s="10">
        <v>190.58</v>
      </c>
      <c r="V18" s="10">
        <v>190.58</v>
      </c>
      <c r="W18" s="10">
        <v>190.58</v>
      </c>
      <c r="X18" s="58">
        <f>SUM(L18:W18)</f>
        <v>2279.9399999999996</v>
      </c>
      <c r="Y18" s="80">
        <f>SUM(C18:W18)</f>
        <v>4486.919999999999</v>
      </c>
    </row>
    <row r="19" spans="1:25" ht="12" customHeight="1" thickBot="1">
      <c r="A19" s="36"/>
      <c r="B19" s="31" t="s">
        <v>71</v>
      </c>
      <c r="C19" s="48"/>
      <c r="D19" s="49"/>
      <c r="E19" s="70"/>
      <c r="F19" s="49"/>
      <c r="G19" s="49"/>
      <c r="H19" s="70"/>
      <c r="I19" s="49"/>
      <c r="J19" s="49"/>
      <c r="K19" s="49">
        <v>10380.04</v>
      </c>
      <c r="L19" s="9">
        <v>843.43</v>
      </c>
      <c r="M19" s="9">
        <v>843.43</v>
      </c>
      <c r="N19" s="9">
        <v>788.28</v>
      </c>
      <c r="O19" s="9">
        <v>788.28</v>
      </c>
      <c r="P19" s="9">
        <v>788.28</v>
      </c>
      <c r="Q19" s="9">
        <v>788.28</v>
      </c>
      <c r="R19" s="10">
        <v>620.07</v>
      </c>
      <c r="S19" s="10">
        <v>670.36</v>
      </c>
      <c r="T19" s="10">
        <v>870.88</v>
      </c>
      <c r="U19" s="10">
        <v>870.88</v>
      </c>
      <c r="V19" s="10">
        <v>870.88</v>
      </c>
      <c r="W19" s="10">
        <v>870.88</v>
      </c>
      <c r="X19" s="58">
        <f>SUM(L19:W19)</f>
        <v>9613.929999999998</v>
      </c>
      <c r="Y19" s="80">
        <f>SUM(C19:W19)</f>
        <v>19993.97000000001</v>
      </c>
    </row>
    <row r="20" spans="1:25" ht="12" customHeight="1" thickBot="1">
      <c r="A20" s="36"/>
      <c r="B20" s="31" t="s">
        <v>73</v>
      </c>
      <c r="C20" s="48"/>
      <c r="D20" s="49"/>
      <c r="E20" s="70"/>
      <c r="F20" s="49"/>
      <c r="G20" s="49"/>
      <c r="H20" s="70"/>
      <c r="I20" s="49"/>
      <c r="J20" s="49"/>
      <c r="K20" s="49">
        <v>1922.01</v>
      </c>
      <c r="L20" s="9">
        <v>275.5</v>
      </c>
      <c r="M20" s="9">
        <v>275.5</v>
      </c>
      <c r="N20" s="9">
        <v>275.5</v>
      </c>
      <c r="O20" s="9">
        <v>275.5</v>
      </c>
      <c r="P20" s="9">
        <v>275.5</v>
      </c>
      <c r="Q20" s="9">
        <v>275.5</v>
      </c>
      <c r="R20" s="10">
        <v>277.87</v>
      </c>
      <c r="S20" s="10">
        <v>277.87</v>
      </c>
      <c r="T20" s="10">
        <v>277.87</v>
      </c>
      <c r="U20" s="10">
        <v>277.87</v>
      </c>
      <c r="V20" s="10">
        <v>277.87</v>
      </c>
      <c r="W20" s="10">
        <v>277.87</v>
      </c>
      <c r="X20" s="58">
        <f>SUM(L20:W20)</f>
        <v>3320.2199999999993</v>
      </c>
      <c r="Y20" s="80">
        <f>SUM(C20:W20)</f>
        <v>5242.23</v>
      </c>
    </row>
    <row r="21" spans="1:25" ht="12" customHeight="1" thickBot="1">
      <c r="A21" s="36" t="s">
        <v>33</v>
      </c>
      <c r="B21" s="31" t="s">
        <v>6</v>
      </c>
      <c r="C21" s="48">
        <v>320.05</v>
      </c>
      <c r="D21" s="49">
        <v>1870.99</v>
      </c>
      <c r="E21" s="70">
        <v>407.06</v>
      </c>
      <c r="F21" s="49">
        <v>608.12</v>
      </c>
      <c r="G21" s="49">
        <v>822.37</v>
      </c>
      <c r="H21" s="70">
        <v>869.02</v>
      </c>
      <c r="I21" s="49">
        <v>813.36</v>
      </c>
      <c r="J21" s="49">
        <v>566.18</v>
      </c>
      <c r="K21" s="49">
        <v>1070.14</v>
      </c>
      <c r="L21" s="9"/>
      <c r="M21" s="10"/>
      <c r="N21" s="10">
        <v>249.5</v>
      </c>
      <c r="O21" s="10"/>
      <c r="P21" s="10"/>
      <c r="Q21" s="10">
        <v>238.65</v>
      </c>
      <c r="R21" s="10"/>
      <c r="S21" s="10"/>
      <c r="T21" s="10">
        <v>271.18</v>
      </c>
      <c r="U21" s="10"/>
      <c r="V21" s="10"/>
      <c r="W21" s="17">
        <v>265.78</v>
      </c>
      <c r="X21" s="58">
        <f t="shared" si="2"/>
        <v>1025.11</v>
      </c>
      <c r="Y21" s="80">
        <f t="shared" si="3"/>
        <v>8372.4</v>
      </c>
    </row>
    <row r="22" spans="1:25" ht="30.75" customHeight="1" thickBot="1">
      <c r="A22" s="36" t="s">
        <v>34</v>
      </c>
      <c r="B22" s="31" t="s">
        <v>74</v>
      </c>
      <c r="C22" s="48">
        <v>0</v>
      </c>
      <c r="D22" s="49">
        <v>3278.76</v>
      </c>
      <c r="E22" s="70">
        <v>11640.88</v>
      </c>
      <c r="F22" s="49">
        <v>15017.7</v>
      </c>
      <c r="G22" s="49">
        <v>14264.04</v>
      </c>
      <c r="H22" s="70">
        <v>9820.41</v>
      </c>
      <c r="I22" s="49">
        <v>11574.19</v>
      </c>
      <c r="J22" s="49">
        <v>12232.25</v>
      </c>
      <c r="K22" s="49">
        <v>12421.1</v>
      </c>
      <c r="L22" s="9">
        <v>1087.61</v>
      </c>
      <c r="M22" s="10">
        <v>997.76</v>
      </c>
      <c r="N22" s="10">
        <v>1329.97</v>
      </c>
      <c r="O22" s="10">
        <v>1036.5</v>
      </c>
      <c r="P22" s="10">
        <v>871.78</v>
      </c>
      <c r="Q22" s="10">
        <v>1263.54</v>
      </c>
      <c r="R22" s="10">
        <v>1027.8</v>
      </c>
      <c r="S22" s="10">
        <v>1051.08</v>
      </c>
      <c r="T22" s="10">
        <v>863.85</v>
      </c>
      <c r="U22" s="10">
        <v>1296.73</v>
      </c>
      <c r="V22" s="10">
        <v>1146.44</v>
      </c>
      <c r="W22" s="17">
        <v>1119.15</v>
      </c>
      <c r="X22" s="58">
        <f t="shared" si="2"/>
        <v>13092.210000000001</v>
      </c>
      <c r="Y22" s="80">
        <f t="shared" si="3"/>
        <v>103341.54000000001</v>
      </c>
    </row>
    <row r="23" spans="1:25" ht="34.5" customHeight="1" thickBot="1">
      <c r="A23" s="36" t="s">
        <v>35</v>
      </c>
      <c r="B23" s="31" t="s">
        <v>60</v>
      </c>
      <c r="C23" s="48">
        <v>1254.3</v>
      </c>
      <c r="D23" s="49">
        <v>5719.86</v>
      </c>
      <c r="E23" s="70">
        <v>6335.26</v>
      </c>
      <c r="F23" s="49">
        <v>1918.15</v>
      </c>
      <c r="G23" s="49">
        <v>1360.05</v>
      </c>
      <c r="H23" s="70">
        <v>2954.16</v>
      </c>
      <c r="I23" s="49">
        <v>1994.69</v>
      </c>
      <c r="J23" s="49">
        <v>1740.02</v>
      </c>
      <c r="K23" s="49">
        <v>1358.34</v>
      </c>
      <c r="L23" s="9">
        <v>107.5</v>
      </c>
      <c r="M23" s="10">
        <v>72.17</v>
      </c>
      <c r="N23" s="10">
        <v>51.29</v>
      </c>
      <c r="O23" s="10">
        <v>71.93</v>
      </c>
      <c r="P23" s="10">
        <v>66.79</v>
      </c>
      <c r="Q23" s="10">
        <v>79.65</v>
      </c>
      <c r="R23" s="10">
        <v>243.57</v>
      </c>
      <c r="S23" s="10">
        <v>62.36</v>
      </c>
      <c r="T23" s="10">
        <v>77.22</v>
      </c>
      <c r="U23" s="10">
        <v>66.87</v>
      </c>
      <c r="V23" s="10">
        <v>319.73</v>
      </c>
      <c r="W23" s="17">
        <v>101.61</v>
      </c>
      <c r="X23" s="58">
        <f t="shared" si="2"/>
        <v>1320.69</v>
      </c>
      <c r="Y23" s="80">
        <f t="shared" si="3"/>
        <v>25955.52</v>
      </c>
    </row>
    <row r="24" spans="1:25" ht="34.5" thickBot="1">
      <c r="A24" s="36" t="s">
        <v>52</v>
      </c>
      <c r="B24" s="31" t="s">
        <v>61</v>
      </c>
      <c r="C24" s="48">
        <v>0</v>
      </c>
      <c r="D24" s="49">
        <v>1760.79</v>
      </c>
      <c r="E24" s="70">
        <v>10234.35</v>
      </c>
      <c r="F24" s="49">
        <v>9967.75</v>
      </c>
      <c r="G24" s="49">
        <v>13342.04</v>
      </c>
      <c r="H24" s="70">
        <v>11454.98</v>
      </c>
      <c r="I24" s="49">
        <v>15083.5</v>
      </c>
      <c r="J24" s="49">
        <v>12727.7</v>
      </c>
      <c r="K24" s="49">
        <v>13400.75</v>
      </c>
      <c r="L24" s="9">
        <f>53.8+384.77+594.42</f>
        <v>1032.99</v>
      </c>
      <c r="M24" s="10">
        <f>564.35+58.96+520.53</f>
        <v>1143.8400000000001</v>
      </c>
      <c r="N24" s="10">
        <f>571.33+58.42+564.63</f>
        <v>1194.38</v>
      </c>
      <c r="O24" s="10">
        <f>601.49+59.17+439.6</f>
        <v>1100.26</v>
      </c>
      <c r="P24" s="10">
        <f>729.28+53.16+343.06</f>
        <v>1125.5</v>
      </c>
      <c r="Q24" s="10">
        <f>585.69+49.86+327.35</f>
        <v>962.9000000000001</v>
      </c>
      <c r="R24" s="10">
        <f>56.11+380.4+739.11</f>
        <v>1175.62</v>
      </c>
      <c r="S24" s="10">
        <f>59.58+578.08+572.98</f>
        <v>1210.64</v>
      </c>
      <c r="T24" s="10">
        <f>667.57+46.87+447.09</f>
        <v>1161.53</v>
      </c>
      <c r="U24" s="10">
        <f>62.57+804.55+650.75</f>
        <v>1517.87</v>
      </c>
      <c r="V24" s="10">
        <f>51.27+448.77+932.26</f>
        <v>1432.3</v>
      </c>
      <c r="W24" s="17">
        <f>846.24+48.72</f>
        <v>894.96</v>
      </c>
      <c r="X24" s="58">
        <f t="shared" si="2"/>
        <v>13952.79</v>
      </c>
      <c r="Y24" s="80">
        <f t="shared" si="3"/>
        <v>101924.65</v>
      </c>
    </row>
    <row r="25" spans="1:25" ht="15.75" customHeight="1" thickBot="1">
      <c r="A25" s="36" t="s">
        <v>53</v>
      </c>
      <c r="B25" s="31" t="s">
        <v>10</v>
      </c>
      <c r="C25" s="48">
        <v>1214.2</v>
      </c>
      <c r="D25" s="49">
        <v>53134.63</v>
      </c>
      <c r="E25" s="70">
        <v>98426.2</v>
      </c>
      <c r="F25" s="49">
        <f>125122.71+0.76</f>
        <v>125123.47</v>
      </c>
      <c r="G25" s="49">
        <v>131820.79</v>
      </c>
      <c r="H25" s="70">
        <v>134462.92</v>
      </c>
      <c r="I25" s="49">
        <v>146242.4</v>
      </c>
      <c r="J25" s="49">
        <v>134167.36</v>
      </c>
      <c r="K25" s="49">
        <v>141498.15</v>
      </c>
      <c r="L25" s="9">
        <f>28148.1-14413.26</f>
        <v>13734.839999999998</v>
      </c>
      <c r="M25" s="10">
        <f>27548.64-14370.13</f>
        <v>13178.51</v>
      </c>
      <c r="N25" s="10">
        <f>27476.86-14937.03</f>
        <v>12539.83</v>
      </c>
      <c r="O25" s="10">
        <f>26412.31-14479.64</f>
        <v>11932.670000000002</v>
      </c>
      <c r="P25" s="10">
        <f>27111.22-14590.14</f>
        <v>12521.080000000002</v>
      </c>
      <c r="Q25" s="10">
        <f>27519.94-15021.44</f>
        <v>12498.499999999998</v>
      </c>
      <c r="R25" s="10">
        <f>28047.19-14950.63</f>
        <v>13096.56</v>
      </c>
      <c r="S25" s="10">
        <f>31835.65-19229.64</f>
        <v>12606.010000000002</v>
      </c>
      <c r="T25" s="10">
        <f>27001.86-15260.6</f>
        <v>11741.26</v>
      </c>
      <c r="U25" s="10">
        <f>24053.11-12092.56</f>
        <v>11960.550000000001</v>
      </c>
      <c r="V25" s="10">
        <f>25225.89-12245.87</f>
        <v>12980.019999999999</v>
      </c>
      <c r="W25" s="17">
        <f>27686.95-13169.8-0.09</f>
        <v>14517.060000000001</v>
      </c>
      <c r="X25" s="58">
        <f t="shared" si="2"/>
        <v>153306.88999999998</v>
      </c>
      <c r="Y25" s="80">
        <f t="shared" si="3"/>
        <v>1119397.0100000002</v>
      </c>
    </row>
    <row r="26" spans="1:25" ht="13.5" customHeight="1" thickBot="1">
      <c r="A26" s="36" t="s">
        <v>54</v>
      </c>
      <c r="B26" s="32" t="s">
        <v>3</v>
      </c>
      <c r="C26" s="50">
        <v>788.73</v>
      </c>
      <c r="D26" s="51">
        <v>9817.49</v>
      </c>
      <c r="E26" s="71">
        <v>16841.24</v>
      </c>
      <c r="F26" s="51">
        <v>11155.92</v>
      </c>
      <c r="G26" s="51">
        <v>11199.96</v>
      </c>
      <c r="H26" s="71">
        <v>15344.31</v>
      </c>
      <c r="I26" s="51">
        <v>11378.93</v>
      </c>
      <c r="J26" s="51">
        <v>9935.82</v>
      </c>
      <c r="K26" s="51">
        <v>11484.83</v>
      </c>
      <c r="L26" s="11">
        <f>145.51+776.76</f>
        <v>922.27</v>
      </c>
      <c r="M26" s="12">
        <f>147.14+785.49</f>
        <v>932.63</v>
      </c>
      <c r="N26" s="12">
        <f>150.17+801.59</f>
        <v>951.76</v>
      </c>
      <c r="O26" s="12">
        <f>144.79+772.6</f>
        <v>917.39</v>
      </c>
      <c r="P26" s="12">
        <f>166.57+888.52</f>
        <v>1055.09</v>
      </c>
      <c r="Q26" s="12">
        <f>142.07+757.59</f>
        <v>899.6600000000001</v>
      </c>
      <c r="R26" s="12">
        <f>157.29+838.78</f>
        <v>996.0699999999999</v>
      </c>
      <c r="S26" s="12">
        <f>159.98+823.39</f>
        <v>983.37</v>
      </c>
      <c r="T26" s="12">
        <f>49.93+767.71</f>
        <v>817.64</v>
      </c>
      <c r="U26" s="12">
        <f>48.93+789.24</f>
        <v>838.17</v>
      </c>
      <c r="V26" s="12">
        <f>52.32+816.94</f>
        <v>869.2600000000001</v>
      </c>
      <c r="W26" s="19">
        <f>59.27+759.24</f>
        <v>818.51</v>
      </c>
      <c r="X26" s="58">
        <f t="shared" si="2"/>
        <v>11001.82</v>
      </c>
      <c r="Y26" s="80">
        <f t="shared" si="3"/>
        <v>108949.04999999999</v>
      </c>
    </row>
    <row r="27" spans="1:25" ht="13.5" customHeight="1" thickBot="1">
      <c r="A27" s="36"/>
      <c r="B27" s="43" t="s">
        <v>57</v>
      </c>
      <c r="C27" s="73"/>
      <c r="D27" s="74"/>
      <c r="E27" s="75"/>
      <c r="F27" s="74"/>
      <c r="G27" s="74"/>
      <c r="H27" s="83">
        <f>H8*5%</f>
        <v>13303.338000000002</v>
      </c>
      <c r="I27" s="67">
        <f>I8*5%</f>
        <v>13293.632000000001</v>
      </c>
      <c r="J27" s="67">
        <f>J8*5%</f>
        <v>13285.351999999999</v>
      </c>
      <c r="K27" s="89">
        <f>K8*5%</f>
        <v>13277.992000000002</v>
      </c>
      <c r="L27" s="76">
        <f>L8*5%</f>
        <v>1110.9</v>
      </c>
      <c r="M27" s="76">
        <f aca="true" t="shared" si="4" ref="M27:W27">M8*5%</f>
        <v>1110.9</v>
      </c>
      <c r="N27" s="76">
        <f t="shared" si="4"/>
        <v>1110.348</v>
      </c>
      <c r="O27" s="76">
        <f t="shared" si="4"/>
        <v>1109.7040000000002</v>
      </c>
      <c r="P27" s="76">
        <f t="shared" si="4"/>
        <v>1109.7040000000002</v>
      </c>
      <c r="Q27" s="76">
        <f t="shared" si="4"/>
        <v>1109.7040000000002</v>
      </c>
      <c r="R27" s="76">
        <f t="shared" si="4"/>
        <v>1109.7040000000002</v>
      </c>
      <c r="S27" s="76">
        <f t="shared" si="4"/>
        <v>1109.7040000000002</v>
      </c>
      <c r="T27" s="76">
        <f t="shared" si="4"/>
        <v>1109.7040000000002</v>
      </c>
      <c r="U27" s="76">
        <f t="shared" si="4"/>
        <v>1109.7040000000002</v>
      </c>
      <c r="V27" s="76">
        <f t="shared" si="4"/>
        <v>1109.7040000000002</v>
      </c>
      <c r="W27" s="76">
        <f t="shared" si="4"/>
        <v>1109.336</v>
      </c>
      <c r="X27" s="67">
        <f t="shared" si="2"/>
        <v>13319.115999999998</v>
      </c>
      <c r="Y27" s="81"/>
    </row>
    <row r="28" spans="1:25" ht="15" customHeight="1" thickBot="1">
      <c r="A28" s="36" t="s">
        <v>36</v>
      </c>
      <c r="B28" s="61" t="s">
        <v>45</v>
      </c>
      <c r="C28" s="62"/>
      <c r="D28" s="63"/>
      <c r="E28" s="72"/>
      <c r="F28" s="63"/>
      <c r="G28" s="63"/>
      <c r="H28" s="72"/>
      <c r="I28" s="86"/>
      <c r="J28" s="86"/>
      <c r="K28" s="85">
        <f aca="true" t="shared" si="5" ref="K28:W28">SUM(K8+K9-K10)-K27</f>
        <v>-32384.20200000008</v>
      </c>
      <c r="L28" s="77">
        <f t="shared" si="5"/>
        <v>-2879.2099999999978</v>
      </c>
      <c r="M28" s="77">
        <f t="shared" si="5"/>
        <v>-2279.7500000000023</v>
      </c>
      <c r="N28" s="77">
        <f t="shared" si="5"/>
        <v>-2218.3279999999995</v>
      </c>
      <c r="O28" s="77">
        <f t="shared" si="5"/>
        <v>-1166.0140000000051</v>
      </c>
      <c r="P28" s="77">
        <f t="shared" si="5"/>
        <v>-1864.924000000005</v>
      </c>
      <c r="Q28" s="77">
        <f t="shared" si="5"/>
        <v>-2273.4039999999936</v>
      </c>
      <c r="R28" s="77">
        <f t="shared" si="5"/>
        <v>-2628.493999999994</v>
      </c>
      <c r="S28" s="77">
        <f t="shared" si="5"/>
        <v>-9412.014000000005</v>
      </c>
      <c r="T28" s="77">
        <f t="shared" si="5"/>
        <v>-3070.823999999999</v>
      </c>
      <c r="U28" s="77">
        <f t="shared" si="5"/>
        <v>-875.7739999999999</v>
      </c>
      <c r="V28" s="77">
        <f t="shared" si="5"/>
        <v>-2048.553999999995</v>
      </c>
      <c r="W28" s="77">
        <f t="shared" si="5"/>
        <v>-5270.205999999999</v>
      </c>
      <c r="X28" s="67">
        <f t="shared" si="2"/>
        <v>-35987.496</v>
      </c>
      <c r="Y28" s="81"/>
    </row>
    <row r="29" spans="1:25" ht="30" customHeight="1" thickBot="1">
      <c r="A29" s="36" t="s">
        <v>37</v>
      </c>
      <c r="B29" s="102" t="s">
        <v>64</v>
      </c>
      <c r="C29" s="103">
        <v>18071.28</v>
      </c>
      <c r="D29" s="102">
        <v>36694.99</v>
      </c>
      <c r="E29" s="92">
        <f>SUM(E8-E10)</f>
        <v>-7750.619999999995</v>
      </c>
      <c r="F29" s="93">
        <f>SUM(F8-F10)</f>
        <v>-3837.899999999965</v>
      </c>
      <c r="G29" s="93">
        <f>SUM(G8-G10)</f>
        <v>-10714.619999999995</v>
      </c>
      <c r="H29" s="104">
        <f>SUM(H8-H10)-H27</f>
        <v>-22154.708</v>
      </c>
      <c r="I29" s="95">
        <f>SUM(I8-I10)-I27</f>
        <v>-85460.58199999995</v>
      </c>
      <c r="J29" s="95">
        <f>SUM(J8-J10)-J27</f>
        <v>-9205.301999999981</v>
      </c>
      <c r="K29" s="95">
        <f>SUM(K8+K9-K10)-K27</f>
        <v>-32384.20200000008</v>
      </c>
      <c r="L29" s="105">
        <f>SUM(L8+L9-L10)-L27</f>
        <v>-2879.2099999999978</v>
      </c>
      <c r="M29" s="106">
        <f>SUM(M28+L29)</f>
        <v>-5158.96</v>
      </c>
      <c r="N29" s="106">
        <f aca="true" t="shared" si="6" ref="N29:W29">SUM(N28+M29)</f>
        <v>-7377.288</v>
      </c>
      <c r="O29" s="106">
        <f t="shared" si="6"/>
        <v>-8543.302000000005</v>
      </c>
      <c r="P29" s="106">
        <f t="shared" si="6"/>
        <v>-10408.22600000001</v>
      </c>
      <c r="Q29" s="106">
        <f t="shared" si="6"/>
        <v>-12681.630000000003</v>
      </c>
      <c r="R29" s="106">
        <f t="shared" si="6"/>
        <v>-15310.123999999996</v>
      </c>
      <c r="S29" s="106">
        <f t="shared" si="6"/>
        <v>-24722.138</v>
      </c>
      <c r="T29" s="106">
        <f t="shared" si="6"/>
        <v>-27792.962</v>
      </c>
      <c r="U29" s="106">
        <f t="shared" si="6"/>
        <v>-28668.736</v>
      </c>
      <c r="V29" s="106">
        <f t="shared" si="6"/>
        <v>-30717.289999999997</v>
      </c>
      <c r="W29" s="106">
        <f t="shared" si="6"/>
        <v>-35987.496</v>
      </c>
      <c r="X29" s="93"/>
      <c r="Y29" s="107"/>
    </row>
    <row r="30" spans="1:25" ht="24" customHeight="1" hidden="1" thickBot="1">
      <c r="A30" s="36" t="s">
        <v>38</v>
      </c>
      <c r="B30" s="43" t="s">
        <v>65</v>
      </c>
      <c r="C30" s="39">
        <v>18071.28</v>
      </c>
      <c r="D30" s="43">
        <v>54766.28</v>
      </c>
      <c r="E30" s="18">
        <f>SUM(E8-E10,D30)</f>
        <v>47015.66</v>
      </c>
      <c r="F30" s="58">
        <f>SUM(F8-F10,E30)</f>
        <v>43177.76000000004</v>
      </c>
      <c r="G30" s="58">
        <f>SUM(G8-G10,F30)</f>
        <v>32463.140000000043</v>
      </c>
      <c r="H30" s="84">
        <f>SUM(H29+G30)</f>
        <v>10308.432000000044</v>
      </c>
      <c r="I30" s="67">
        <f>SUM(I29+H30)</f>
        <v>-75152.1499999999</v>
      </c>
      <c r="J30" s="67">
        <f>SUM(J29+I30)</f>
        <v>-84357.45199999989</v>
      </c>
      <c r="K30" s="67">
        <f>SUM(K29+J30)</f>
        <v>-116741.65399999997</v>
      </c>
      <c r="L30" s="67">
        <f>SUM(L29+K30)</f>
        <v>-119620.86399999996</v>
      </c>
      <c r="M30" s="67">
        <f>SUM(M28+L30)</f>
        <v>-121900.61399999996</v>
      </c>
      <c r="N30" s="78">
        <f aca="true" t="shared" si="7" ref="N30:V30">SUM(N28+M30)</f>
        <v>-124118.94199999995</v>
      </c>
      <c r="O30" s="78">
        <f t="shared" si="7"/>
        <v>-125284.95599999996</v>
      </c>
      <c r="P30" s="78">
        <f t="shared" si="7"/>
        <v>-127149.87999999996</v>
      </c>
      <c r="Q30" s="78">
        <f>SUM(Q28+P30)</f>
        <v>-129423.28399999996</v>
      </c>
      <c r="R30" s="78">
        <f t="shared" si="7"/>
        <v>-132051.77799999996</v>
      </c>
      <c r="S30" s="78">
        <f t="shared" si="7"/>
        <v>-141463.79199999996</v>
      </c>
      <c r="T30" s="78">
        <f t="shared" si="7"/>
        <v>-144534.61599999995</v>
      </c>
      <c r="U30" s="78">
        <f t="shared" si="7"/>
        <v>-145410.38999999996</v>
      </c>
      <c r="V30" s="78">
        <f t="shared" si="7"/>
        <v>-147458.94399999996</v>
      </c>
      <c r="W30" s="78">
        <f>SUM(W28+V30)</f>
        <v>-152729.14999999997</v>
      </c>
      <c r="X30" s="58"/>
      <c r="Y30" s="52"/>
    </row>
    <row r="31" spans="1:25" ht="9" customHeight="1" hidden="1" thickBot="1">
      <c r="A31" s="36" t="s">
        <v>38</v>
      </c>
      <c r="B31" s="43" t="s">
        <v>8</v>
      </c>
      <c r="C31" s="40"/>
      <c r="D31" s="44"/>
      <c r="E31" s="44"/>
      <c r="F31" s="40"/>
      <c r="G31" s="40"/>
      <c r="H31" s="40"/>
      <c r="I31" s="40"/>
      <c r="J31" s="40"/>
      <c r="K31" s="40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8"/>
      <c r="Y31" s="53"/>
    </row>
    <row r="32" spans="1:25" ht="15" customHeight="1" hidden="1" thickBot="1">
      <c r="A32" s="36" t="s">
        <v>39</v>
      </c>
      <c r="B32" s="33" t="s">
        <v>23</v>
      </c>
      <c r="C32" s="40"/>
      <c r="D32" s="44"/>
      <c r="E32" s="44"/>
      <c r="F32" s="40"/>
      <c r="G32" s="40"/>
      <c r="H32" s="40"/>
      <c r="I32" s="40"/>
      <c r="J32" s="40"/>
      <c r="K32" s="4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59"/>
      <c r="Y32" s="54"/>
    </row>
    <row r="33" spans="1:25" ht="24" customHeight="1" hidden="1" thickBot="1">
      <c r="A33" s="37" t="s">
        <v>40</v>
      </c>
      <c r="B33" s="34" t="s">
        <v>49</v>
      </c>
      <c r="C33" s="41"/>
      <c r="D33" s="45"/>
      <c r="E33" s="45"/>
      <c r="F33" s="41"/>
      <c r="G33" s="41"/>
      <c r="H33" s="41"/>
      <c r="I33" s="41"/>
      <c r="J33" s="41"/>
      <c r="K33" s="41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66"/>
      <c r="Y33" s="55"/>
    </row>
    <row r="34" spans="1:25" ht="35.25" customHeight="1" hidden="1" thickBot="1">
      <c r="A34" s="37" t="s">
        <v>43</v>
      </c>
      <c r="B34" s="34" t="s">
        <v>50</v>
      </c>
      <c r="C34" s="41"/>
      <c r="D34" s="45"/>
      <c r="E34" s="45"/>
      <c r="F34" s="41"/>
      <c r="G34" s="41"/>
      <c r="H34" s="41"/>
      <c r="I34" s="41"/>
      <c r="J34" s="41"/>
      <c r="K34" s="4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60"/>
      <c r="Y34" s="55"/>
    </row>
    <row r="35" spans="3:25" ht="12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</row>
    <row r="36" ht="14.25" customHeight="1" hidden="1"/>
    <row r="37" ht="2.25" customHeight="1" hidden="1"/>
    <row r="38" ht="12.75" hidden="1"/>
    <row r="39" ht="12.75" hidden="1"/>
    <row r="40" ht="12.75">
      <c r="B40" t="s">
        <v>66</v>
      </c>
    </row>
    <row r="44" ht="12.75" customHeight="1"/>
    <row r="45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2019-02-11T07:47:58Z</cp:lastPrinted>
  <dcterms:created xsi:type="dcterms:W3CDTF">2011-06-16T11:06:26Z</dcterms:created>
  <dcterms:modified xsi:type="dcterms:W3CDTF">2019-02-12T13:13:07Z</dcterms:modified>
  <cp:category/>
  <cp:version/>
  <cp:contentType/>
  <cp:contentStatus/>
</cp:coreProperties>
</file>