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<sst xmlns="http://schemas.openxmlformats.org/spreadsheetml/2006/main" count="77" uniqueCount="77">
  <si>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СПРАВКА</t>
  </si>
  <si>
    <t xml:space="preserve">Начислено  </t>
  </si>
  <si>
    <t>Расходы</t>
  </si>
  <si>
    <t>Услуги РИРЦ</t>
  </si>
  <si>
    <t>Вывоз ТБО</t>
  </si>
  <si>
    <t>Тех.обслуж.газового обор.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</si>
  <si>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</si>
  <si>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</si>
  <si>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</si>
  <si>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</si>
  <si>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</si>
  <si>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</si>
  <si>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</si>
  <si>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</si>
  <si>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</si>
  <si>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</si>
  <si>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</si>
  <si>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</si>
  <si>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</si>
  <si>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</si>
  <si>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</si>
  <si>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</si>
  <si>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</si>
  <si>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</si>
  <si>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</si>
  <si>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</si>
  <si>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</si>
  <si>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</si>
  <si>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</si>
  <si>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</si>
  <si>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</si>
  <si>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</si>
  <si>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</si>
  <si>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4.5</t>
  </si>
  <si>
    <t>4.7</t>
  </si>
  <si>
    <t>4.8</t>
  </si>
  <si>
    <t>4.9</t>
  </si>
  <si>
    <t>4.11</t>
  </si>
  <si>
    <t>6</t>
  </si>
  <si>
    <t>7</t>
  </si>
  <si>
    <t>8</t>
  </si>
  <si>
    <t>9</t>
  </si>
  <si>
    <t>10</t>
  </si>
  <si>
    <t>Финансовый результат по дому с начала года</t>
  </si>
  <si>
    <t>Благоустройство  территории</t>
  </si>
  <si>
    <t>11</t>
  </si>
  <si>
    <t>Результат за месяц</t>
  </si>
  <si>
    <t>4,12</t>
  </si>
  <si>
    <t>4.13</t>
  </si>
  <si>
    <t xml:space="preserve">Материалы </t>
  </si>
  <si>
    <t>4.14</t>
  </si>
  <si>
    <t>5</t>
  </si>
  <si>
    <t>4.15</t>
  </si>
  <si>
    <t>рентабельность 5%</t>
  </si>
  <si>
    <t>Итого за 2015</t>
  </si>
  <si>
    <t>Услуги сторонних орган.</t>
  </si>
  <si>
    <t>Дом по ул.Луначарского д. 25 вступил в ООО "Наш дом" с мая 2015 года                      тариф 11,5  руб</t>
  </si>
  <si>
    <t>по жилому дому г. Унеча ул. Луначарского  д.25</t>
  </si>
  <si>
    <t>4.4</t>
  </si>
  <si>
    <t>Проверка вент. Каналов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</si>
  <si>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</si>
  <si>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</si>
  <si>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экономист /Викторова Л.С/</t>
  </si>
  <si>
    <t>Итого за 2016</t>
  </si>
  <si>
    <t>10366,63</t>
  </si>
  <si>
    <t>17205,56</t>
  </si>
  <si>
    <t>Итого за 2017</t>
  </si>
  <si>
    <t>Начислено СОИД</t>
  </si>
  <si>
    <t>Начислено  нежилые</t>
  </si>
  <si>
    <t>Электроэнергия СОИД</t>
  </si>
  <si>
    <t>Горячая вода СОИД</t>
  </si>
  <si>
    <t>Холодная вода СОИД</t>
  </si>
  <si>
    <t>Канализация СОИД</t>
  </si>
  <si>
    <t>Транспортные(ГСМ,зап.части,амортизация,страхование)</t>
  </si>
  <si>
    <t>16814,59</t>
  </si>
  <si>
    <t>Итого за 2018</t>
  </si>
  <si>
    <t>Всего за 2015-2018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</si>
</sst>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9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7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5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wrapText="1"/>
    </xf>
    <xf numFmtId="0" fontId="21" fillId="0" borderId="28" xfId="0" applyFont="1" applyBorder="1" applyAlignment="1">
      <alignment horizontal="left" wrapText="1"/>
    </xf>
    <xf numFmtId="49" fontId="21" fillId="0" borderId="27" xfId="0" applyNumberFormat="1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1" fillId="0" borderId="35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49" fontId="0" fillId="0" borderId="36" xfId="0" applyNumberFormat="1" applyBorder="1" applyAlignment="1">
      <alignment horizontal="center"/>
    </xf>
    <xf numFmtId="0" fontId="23" fillId="0" borderId="26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0" fontId="0" fillId="2" borderId="26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5" xfId="0" applyFont="1" applyBorder="1" applyAlignment="1">
      <alignment/>
    </xf>
    <xf numFmtId="0" fontId="21" fillId="0" borderId="38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 wrapText="1"/>
    </xf>
    <xf numFmtId="2" fontId="20" fillId="0" borderId="30" xfId="0" applyNumberFormat="1" applyFont="1" applyBorder="1" applyAlignment="1">
      <alignment/>
    </xf>
    <xf numFmtId="0" fontId="21" fillId="0" borderId="30" xfId="0" applyFont="1" applyBorder="1" applyAlignment="1">
      <alignment/>
    </xf>
    <xf numFmtId="0" fontId="20" fillId="0" borderId="26" xfId="0" applyFont="1" applyBorder="1" applyAlignment="1">
      <alignment/>
    </xf>
    <xf numFmtId="2" fontId="21" fillId="0" borderId="26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39" xfId="0" applyNumberFormat="1" applyFont="1" applyBorder="1" applyAlignment="1">
      <alignment/>
    </xf>
    <xf numFmtId="2" fontId="21" fillId="0" borderId="40" xfId="0" applyNumberFormat="1" applyFont="1" applyBorder="1" applyAlignment="1">
      <alignment/>
    </xf>
    <xf numFmtId="2" fontId="21" fillId="0" borderId="41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1" fillId="0" borderId="25" xfId="0" applyFont="1" applyBorder="1" applyAlignment="1">
      <alignment wrapText="1"/>
    </xf>
    <xf numFmtId="0" fontId="21" fillId="2" borderId="25" xfId="0" applyFont="1" applyFill="1" applyBorder="1" applyAlignment="1">
      <alignment wrapText="1"/>
    </xf>
    <xf numFmtId="0" fontId="21" fillId="0" borderId="33" xfId="0" applyFont="1" applyBorder="1" applyAlignment="1">
      <alignment wrapText="1"/>
    </xf>
    <xf numFmtId="0" fontId="21" fillId="0" borderId="34" xfId="0" applyFont="1" applyBorder="1" applyAlignment="1">
      <alignment wrapText="1"/>
    </xf>
    <xf numFmtId="49" fontId="21" fillId="0" borderId="42" xfId="0" applyNumberFormat="1" applyFont="1" applyBorder="1" applyAlignment="1">
      <alignment horizontal="right" wrapText="1"/>
    </xf>
    <xf numFmtId="0" fontId="21" fillId="0" borderId="33" xfId="0" applyFont="1" applyBorder="1" applyAlignment="1">
      <alignment horizontal="right" wrapText="1"/>
    </xf>
    <xf numFmtId="0" fontId="25" fillId="0" borderId="32" xfId="0" applyFont="1" applyBorder="1" applyAlignment="1">
      <alignment/>
    </xf>
    <xf numFmtId="0" fontId="24" fillId="0" borderId="43" xfId="0" applyFont="1" applyBorder="1" applyAlignment="1">
      <alignment wrapText="1"/>
    </xf>
    <xf numFmtId="49" fontId="21" fillId="0" borderId="44" xfId="0" applyNumberFormat="1" applyFont="1" applyBorder="1" applyAlignment="1">
      <alignment horizontal="right" wrapText="1"/>
    </xf>
    <xf numFmtId="0" fontId="21" fillId="0" borderId="45" xfId="0" applyFont="1" applyBorder="1" applyAlignment="1">
      <alignment horizontal="right" wrapText="1"/>
    </xf>
    <xf numFmtId="0" fontId="21" fillId="0" borderId="45" xfId="0" applyFont="1" applyBorder="1" applyAlignment="1">
      <alignment wrapText="1"/>
    </xf>
    <xf numFmtId="0" fontId="21" fillId="0" borderId="46" xfId="0" applyFont="1" applyBorder="1" applyAlignment="1">
      <alignment wrapText="1"/>
    </xf>
    <xf numFmtId="2" fontId="21" fillId="0" borderId="47" xfId="0" applyNumberFormat="1" applyFont="1" applyBorder="1" applyAlignment="1">
      <alignment/>
    </xf>
    <xf numFmtId="0" fontId="21" fillId="0" borderId="48" xfId="0" applyFont="1" applyBorder="1" applyAlignment="1">
      <alignment wrapText="1"/>
    </xf>
    <xf numFmtId="2" fontId="21" fillId="0" borderId="49" xfId="0" applyNumberFormat="1" applyFont="1" applyBorder="1" applyAlignment="1">
      <alignment/>
    </xf>
    <xf numFmtId="0" fontId="21" fillId="0" borderId="50" xfId="0" applyFont="1" applyBorder="1" applyAlignment="1">
      <alignment wrapText="1"/>
    </xf>
    <xf numFmtId="2" fontId="21" fillId="0" borderId="38" xfId="0" applyNumberFormat="1" applyFont="1" applyBorder="1" applyAlignment="1">
      <alignment/>
    </xf>
    <xf numFmtId="0" fontId="26" fillId="0" borderId="32" xfId="0" applyFont="1" applyBorder="1" applyAlignment="1">
      <alignment wrapText="1"/>
    </xf>
    <xf numFmtId="0" fontId="24" fillId="0" borderId="44" xfId="0" applyFont="1" applyBorder="1" applyAlignment="1">
      <alignment wrapText="1"/>
    </xf>
    <xf numFmtId="0" fontId="26" fillId="0" borderId="42" xfId="0" applyFont="1" applyBorder="1" applyAlignment="1">
      <alignment wrapText="1"/>
    </xf>
    <xf numFmtId="0" fontId="26" fillId="0" borderId="43" xfId="0" applyFont="1" applyBorder="1" applyAlignment="1">
      <alignment wrapText="1"/>
    </xf>
    <xf numFmtId="0" fontId="26" fillId="0" borderId="44" xfId="0" applyFont="1" applyBorder="1" applyAlignment="1">
      <alignment wrapText="1"/>
    </xf>
    <xf numFmtId="2" fontId="21" fillId="0" borderId="50" xfId="0" applyNumberFormat="1" applyFont="1" applyBorder="1" applyAlignment="1">
      <alignment/>
    </xf>
    <xf numFmtId="2" fontId="21" fillId="0" borderId="51" xfId="0" applyNumberFormat="1" applyFont="1" applyBorder="1" applyAlignment="1">
      <alignment/>
    </xf>
    <xf numFmtId="2" fontId="21" fillId="0" borderId="52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6" xfId="0" applyFont="1" applyBorder="1" applyAlignment="1">
      <alignment wrapText="1"/>
    </xf>
    <xf numFmtId="0" fontId="27" fillId="0" borderId="50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47" xfId="0" applyFont="1" applyBorder="1" applyAlignment="1">
      <alignment/>
    </xf>
    <xf numFmtId="0" fontId="28" fillId="0" borderId="32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7">
      <selection activeCell="Q26" sqref="Q26"/>
    </sheetView>
  </sheetViews>
  <sheetFormatPr defaultColWidth="9.00390625" defaultRowHeight="12.75"/>
  <cols>
    <col min="1" max="1" width="3.875" style="24" customWidth="1"/>
    <col min="2" max="2" width="22.875" style="0" customWidth="1"/>
    <col min="3" max="5" width="9.625" style="0" hidden="1" customWidth="1"/>
    <col min="6" max="6" width="8.25390625" style="0" customWidth="1"/>
    <col min="7" max="7" width="8.125" style="0" customWidth="1"/>
    <col min="8" max="8" width="8.625" style="0" customWidth="1"/>
    <col min="9" max="9" width="8.25390625" style="0" customWidth="1"/>
    <col min="10" max="11" width="8.125" style="0" customWidth="1"/>
    <col min="12" max="12" width="8.375" style="0" customWidth="1"/>
    <col min="13" max="13" width="8.25390625" style="0" customWidth="1"/>
    <col min="14" max="14" width="8.00390625" style="0" customWidth="1"/>
    <col min="15" max="16" width="8.375" style="0" customWidth="1"/>
    <col min="17" max="17" width="8.75390625" style="0" customWidth="1"/>
    <col min="18" max="18" width="8.875" style="0" customWidth="1"/>
    <col min="19" max="19" width="10.125" style="0" customWidth="1"/>
  </cols>
  <sheetData>
    <row r="1" spans="2:24" ht="12.75" customHeight="1">
      <c r="B1" s="95" t="s">
        <v>8</v>
      </c>
      <c r="C1" s="95"/>
      <c r="D1" s="95"/>
      <c r="E1" s="95"/>
      <c r="F1" s="95"/>
      <c r="G1" s="95"/>
      <c r="H1" s="9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 customHeight="1">
      <c r="B2" s="95" t="s">
        <v>56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  <c r="Q2" s="96"/>
      <c r="R2" s="4"/>
      <c r="S2" s="4"/>
      <c r="T2" s="4"/>
      <c r="U2" s="4"/>
      <c r="V2" s="4"/>
      <c r="W2" s="4"/>
      <c r="X2" s="4"/>
    </row>
    <row r="3" spans="2:24" ht="12.75" customHeight="1">
      <c r="B3" s="94" t="s">
        <v>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3"/>
      <c r="U3" s="3"/>
      <c r="V3" s="3"/>
      <c r="W3" s="3"/>
      <c r="X3" s="3"/>
    </row>
    <row r="4" spans="2:24" ht="21.75" customHeight="1">
      <c r="B4" s="93" t="s">
        <v>10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2"/>
      <c r="U4" s="2"/>
      <c r="V4" s="2"/>
      <c r="W4" s="2"/>
      <c r="X4" s="2"/>
    </row>
    <row r="5" spans="2:24" ht="15.75" customHeight="1" thickBot="1">
      <c r="B5" s="93" t="s">
        <v>57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2"/>
      <c r="U5" s="2"/>
      <c r="V5" s="2"/>
      <c r="W5" s="2"/>
      <c r="X5" s="2"/>
    </row>
    <row r="6" spans="2:24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</row>
    <row r="7" spans="1:24" ht="27.75" customHeight="1" thickBot="1">
      <c r="A7" s="34" t="s">
        <v>27</v>
      </c>
      <c r="B7" s="25" t="s">
        <v>6</v>
      </c>
      <c r="C7" s="44" t="s">
        <v>54</v>
      </c>
      <c r="D7" s="44" t="s">
        <v>63</v>
      </c>
      <c r="E7" s="44" t="s">
        <v>66</v>
      </c>
      <c r="F7" s="6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5" t="s">
        <v>17</v>
      </c>
      <c r="M7" s="5" t="s">
        <v>18</v>
      </c>
      <c r="N7" s="5" t="s">
        <v>19</v>
      </c>
      <c r="O7" s="5" t="s">
        <v>20</v>
      </c>
      <c r="P7" s="5" t="s">
        <v>22</v>
      </c>
      <c r="Q7" s="15" t="s">
        <v>21</v>
      </c>
      <c r="R7" s="44" t="s">
        <v>75</v>
      </c>
      <c r="S7" s="40" t="s">
        <v>76</v>
      </c>
      <c r="T7" s="1"/>
      <c r="U7" s="1"/>
      <c r="V7" s="1"/>
      <c r="W7" s="1"/>
      <c r="X7" s="1"/>
    </row>
    <row r="8" spans="1:19" ht="13.5" thickBot="1">
      <c r="A8" s="35" t="s">
        <v>28</v>
      </c>
      <c r="B8" s="26" t="s">
        <v>1</v>
      </c>
      <c r="C8" s="67">
        <v>54691.18</v>
      </c>
      <c r="D8" s="80">
        <v>82342.99</v>
      </c>
      <c r="E8" s="77">
        <v>63880.2</v>
      </c>
      <c r="F8" s="7">
        <v>5323.35</v>
      </c>
      <c r="G8" s="7">
        <v>5323.35</v>
      </c>
      <c r="H8" s="7">
        <v>5323.35</v>
      </c>
      <c r="I8" s="7">
        <v>5323.35</v>
      </c>
      <c r="J8" s="7">
        <v>5323.35</v>
      </c>
      <c r="K8" s="7">
        <v>5323.35</v>
      </c>
      <c r="L8" s="8">
        <v>5323.35</v>
      </c>
      <c r="M8" s="8">
        <v>5323.35</v>
      </c>
      <c r="N8" s="8">
        <v>5323.35</v>
      </c>
      <c r="O8" s="8">
        <v>5323.35</v>
      </c>
      <c r="P8" s="8">
        <v>5323.35</v>
      </c>
      <c r="Q8" s="8">
        <v>5323.35</v>
      </c>
      <c r="R8" s="49">
        <f>SUM(F8:Q8)</f>
        <v>63880.19999999999</v>
      </c>
      <c r="S8" s="66">
        <f>SUM(C8:Q8)</f>
        <v>264794.57000000007</v>
      </c>
    </row>
    <row r="9" spans="1:19" ht="13.5" thickBot="1">
      <c r="A9" s="35"/>
      <c r="B9" s="26" t="s">
        <v>67</v>
      </c>
      <c r="C9" s="78"/>
      <c r="D9" s="81"/>
      <c r="E9" s="79">
        <v>4634.67</v>
      </c>
      <c r="F9" s="7">
        <f aca="true" t="shared" si="0" ref="F9:K9">170.15+16.07+23.37+64.69</f>
        <v>274.28</v>
      </c>
      <c r="G9" s="7">
        <f t="shared" si="0"/>
        <v>274.28</v>
      </c>
      <c r="H9" s="7">
        <f t="shared" si="0"/>
        <v>274.28</v>
      </c>
      <c r="I9" s="7">
        <f t="shared" si="0"/>
        <v>274.28</v>
      </c>
      <c r="J9" s="7">
        <f t="shared" si="0"/>
        <v>274.28</v>
      </c>
      <c r="K9" s="7">
        <f t="shared" si="0"/>
        <v>274.28</v>
      </c>
      <c r="L9" s="8">
        <f>178.57+16.16+23.56+66.3</f>
        <v>284.59</v>
      </c>
      <c r="M9" s="8">
        <f>16.16+23.56+66.3</f>
        <v>106.02</v>
      </c>
      <c r="N9" s="8">
        <f>16.16+23.56+66.3</f>
        <v>106.02</v>
      </c>
      <c r="O9" s="8">
        <f>16.16+23.56+66.3</f>
        <v>106.02</v>
      </c>
      <c r="P9" s="8">
        <f>16.16+23.56+66.3</f>
        <v>106.02</v>
      </c>
      <c r="Q9" s="8">
        <f>16.16+23.56+66.3</f>
        <v>106.02</v>
      </c>
      <c r="R9" s="49">
        <f>SUM(F9:Q9)</f>
        <v>2460.37</v>
      </c>
      <c r="S9" s="66">
        <f>SUM(C9:Q9)</f>
        <v>7095.040000000001</v>
      </c>
    </row>
    <row r="10" spans="1:19" ht="13.5" thickBot="1">
      <c r="A10" s="35"/>
      <c r="B10" s="26" t="s">
        <v>68</v>
      </c>
      <c r="C10" s="78"/>
      <c r="D10" s="81"/>
      <c r="E10" s="79">
        <v>19530.13</v>
      </c>
      <c r="F10" s="7">
        <v>1622.08</v>
      </c>
      <c r="G10" s="7">
        <v>1622.08</v>
      </c>
      <c r="H10" s="7">
        <v>1622.08</v>
      </c>
      <c r="I10" s="7">
        <v>1622.08</v>
      </c>
      <c r="J10" s="7">
        <v>1622.08</v>
      </c>
      <c r="K10" s="7">
        <v>1622.08</v>
      </c>
      <c r="L10" s="8">
        <v>1639.1</v>
      </c>
      <c r="M10" s="8">
        <v>1639.1</v>
      </c>
      <c r="N10" s="8">
        <v>1639.1</v>
      </c>
      <c r="O10" s="8">
        <v>1639.1</v>
      </c>
      <c r="P10" s="8">
        <v>1639.1</v>
      </c>
      <c r="Q10" s="8">
        <v>1639.1</v>
      </c>
      <c r="R10" s="49">
        <f>SUM(F10:Q10)</f>
        <v>19567.079999999998</v>
      </c>
      <c r="S10" s="66">
        <f>SUM(C10:Q10)</f>
        <v>39097.21</v>
      </c>
    </row>
    <row r="11" spans="1:19" s="92" customFormat="1" ht="13.5" thickBot="1">
      <c r="A11" s="85" t="s">
        <v>29</v>
      </c>
      <c r="B11" s="86" t="s">
        <v>2</v>
      </c>
      <c r="C11" s="87">
        <v>44978.66</v>
      </c>
      <c r="D11" s="87">
        <v>69539.52</v>
      </c>
      <c r="E11" s="88">
        <v>74400.25</v>
      </c>
      <c r="F11" s="89">
        <f>SUM(F12:F26)</f>
        <v>6787.38</v>
      </c>
      <c r="G11" s="89">
        <f aca="true" t="shared" si="1" ref="G11:Q11">SUM(G12:G26)</f>
        <v>6925.580000000001</v>
      </c>
      <c r="H11" s="89">
        <f t="shared" si="1"/>
        <v>5890.540000000001</v>
      </c>
      <c r="I11" s="89">
        <f t="shared" si="1"/>
        <v>11628.380000000001</v>
      </c>
      <c r="J11" s="89">
        <f t="shared" si="1"/>
        <v>5653.700000000001</v>
      </c>
      <c r="K11" s="89">
        <f t="shared" si="1"/>
        <v>5512.590000000001</v>
      </c>
      <c r="L11" s="89">
        <f t="shared" si="1"/>
        <v>5640.63</v>
      </c>
      <c r="M11" s="89">
        <f t="shared" si="1"/>
        <v>5467.08</v>
      </c>
      <c r="N11" s="89">
        <f t="shared" si="1"/>
        <v>5176.499999999999</v>
      </c>
      <c r="O11" s="89">
        <f t="shared" si="1"/>
        <v>5384.359999999999</v>
      </c>
      <c r="P11" s="89">
        <f t="shared" si="1"/>
        <v>5604.77</v>
      </c>
      <c r="Q11" s="90">
        <f t="shared" si="1"/>
        <v>8016.39</v>
      </c>
      <c r="R11" s="88">
        <f>SUM(F11:Q11)</f>
        <v>77687.90000000001</v>
      </c>
      <c r="S11" s="91">
        <f>SUM(C11:Q11)</f>
        <v>266606.32999999996</v>
      </c>
    </row>
    <row r="12" spans="1:19" ht="13.5" thickBot="1">
      <c r="A12" s="35" t="s">
        <v>30</v>
      </c>
      <c r="B12" s="28" t="s">
        <v>4</v>
      </c>
      <c r="C12" s="68" t="s">
        <v>64</v>
      </c>
      <c r="D12" s="68" t="s">
        <v>65</v>
      </c>
      <c r="E12" s="64" t="s">
        <v>74</v>
      </c>
      <c r="F12" s="7">
        <f>1272+49.5</f>
        <v>1321.5</v>
      </c>
      <c r="G12" s="8">
        <f>1219+52.21</f>
        <v>1271.21</v>
      </c>
      <c r="H12" s="8">
        <f>1272+38.56</f>
        <v>1310.56</v>
      </c>
      <c r="I12" s="8">
        <f>1272+108.63</f>
        <v>1380.63</v>
      </c>
      <c r="J12" s="8">
        <f>1272+101.5</f>
        <v>1373.5</v>
      </c>
      <c r="K12" s="8">
        <f>1272+104.25</f>
        <v>1376.25</v>
      </c>
      <c r="L12" s="8">
        <f>1272+88.95</f>
        <v>1360.95</v>
      </c>
      <c r="M12" s="8">
        <f>1325+116.79</f>
        <v>1441.79</v>
      </c>
      <c r="N12" s="8">
        <f>1325+86.81</f>
        <v>1411.81</v>
      </c>
      <c r="O12" s="8">
        <f>1325+70.44</f>
        <v>1395.44</v>
      </c>
      <c r="P12" s="8">
        <f>1325+81.77</f>
        <v>1406.77</v>
      </c>
      <c r="Q12" s="16">
        <f>1325+75.16</f>
        <v>1400.16</v>
      </c>
      <c r="R12" s="45">
        <f aca="true" t="shared" si="2" ref="R12:R28">SUM(F12:Q12)</f>
        <v>16450.57</v>
      </c>
      <c r="S12" s="66">
        <f aca="true" t="shared" si="3" ref="S12:S26">SUM(C12:Q12)</f>
        <v>16450.57</v>
      </c>
    </row>
    <row r="13" spans="1:19" ht="17.25" customHeight="1" thickBot="1">
      <c r="A13" s="35" t="s">
        <v>31</v>
      </c>
      <c r="B13" s="29" t="s">
        <v>55</v>
      </c>
      <c r="C13" s="69">
        <v>1650.26</v>
      </c>
      <c r="D13" s="69">
        <v>3643.45</v>
      </c>
      <c r="E13" s="65">
        <v>2116.57</v>
      </c>
      <c r="F13" s="9">
        <v>1100</v>
      </c>
      <c r="G13" s="10">
        <v>1300</v>
      </c>
      <c r="H13" s="10">
        <v>390</v>
      </c>
      <c r="I13" s="10"/>
      <c r="J13" s="10"/>
      <c r="K13" s="10"/>
      <c r="L13" s="10"/>
      <c r="M13" s="10"/>
      <c r="N13" s="10"/>
      <c r="O13" s="10"/>
      <c r="P13" s="10"/>
      <c r="Q13" s="17">
        <v>1800</v>
      </c>
      <c r="R13" s="45">
        <f>SUM(F13:Q13)</f>
        <v>4590</v>
      </c>
      <c r="S13" s="66">
        <f t="shared" si="3"/>
        <v>12000.28</v>
      </c>
    </row>
    <row r="14" spans="1:19" ht="15" customHeight="1" thickBot="1">
      <c r="A14" s="35" t="s">
        <v>32</v>
      </c>
      <c r="B14" s="27" t="s">
        <v>5</v>
      </c>
      <c r="C14" s="69">
        <v>3674.2</v>
      </c>
      <c r="D14" s="69">
        <v>0</v>
      </c>
      <c r="E14" s="65">
        <v>0</v>
      </c>
      <c r="F14" s="9"/>
      <c r="G14" s="10"/>
      <c r="H14" s="10"/>
      <c r="I14" s="10">
        <v>6056.74</v>
      </c>
      <c r="J14" s="10"/>
      <c r="K14" s="10"/>
      <c r="L14" s="10"/>
      <c r="M14" s="10"/>
      <c r="N14" s="10"/>
      <c r="O14" s="10"/>
      <c r="P14" s="10"/>
      <c r="Q14" s="17"/>
      <c r="R14" s="45">
        <f t="shared" si="2"/>
        <v>6056.74</v>
      </c>
      <c r="S14" s="66">
        <f t="shared" si="3"/>
        <v>9730.939999999999</v>
      </c>
    </row>
    <row r="15" spans="1:19" ht="16.5" customHeight="1" thickBot="1">
      <c r="A15" s="35" t="s">
        <v>58</v>
      </c>
      <c r="B15" s="27" t="s">
        <v>59</v>
      </c>
      <c r="C15" s="69">
        <v>500</v>
      </c>
      <c r="D15" s="69">
        <v>0</v>
      </c>
      <c r="E15" s="65">
        <v>600</v>
      </c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7">
        <v>500</v>
      </c>
      <c r="R15" s="45">
        <f>SUM(F15:Q15)</f>
        <v>500</v>
      </c>
      <c r="S15" s="66">
        <f t="shared" si="3"/>
        <v>1600</v>
      </c>
    </row>
    <row r="16" spans="1:19" ht="15.75" customHeight="1" thickBot="1">
      <c r="A16" s="35" t="s">
        <v>33</v>
      </c>
      <c r="B16" s="29" t="s">
        <v>49</v>
      </c>
      <c r="C16" s="70">
        <v>161.78</v>
      </c>
      <c r="D16" s="70">
        <v>4363.14</v>
      </c>
      <c r="E16" s="62">
        <v>4871.47</v>
      </c>
      <c r="F16" s="9"/>
      <c r="G16" s="10"/>
      <c r="H16" s="10"/>
      <c r="I16" s="10"/>
      <c r="J16" s="10">
        <v>179.4</v>
      </c>
      <c r="K16" s="10"/>
      <c r="L16" s="10"/>
      <c r="M16" s="10"/>
      <c r="N16" s="10"/>
      <c r="O16" s="10"/>
      <c r="P16" s="10"/>
      <c r="Q16" s="17"/>
      <c r="R16" s="45">
        <f t="shared" si="2"/>
        <v>179.4</v>
      </c>
      <c r="S16" s="66">
        <f t="shared" si="3"/>
        <v>9575.789999999999</v>
      </c>
    </row>
    <row r="17" spans="1:19" ht="24" customHeight="1" thickBot="1">
      <c r="A17" s="35" t="s">
        <v>34</v>
      </c>
      <c r="B17" s="29" t="s">
        <v>44</v>
      </c>
      <c r="C17" s="70">
        <v>0</v>
      </c>
      <c r="D17" s="70">
        <v>51</v>
      </c>
      <c r="E17" s="62">
        <v>398.43</v>
      </c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7"/>
      <c r="R17" s="45">
        <f t="shared" si="2"/>
        <v>0</v>
      </c>
      <c r="S17" s="66">
        <f t="shared" si="3"/>
        <v>449.43</v>
      </c>
    </row>
    <row r="18" spans="1:19" ht="12" customHeight="1" thickBot="1">
      <c r="A18" s="35" t="s">
        <v>35</v>
      </c>
      <c r="B18" s="29" t="s">
        <v>69</v>
      </c>
      <c r="C18" s="70">
        <v>0</v>
      </c>
      <c r="D18" s="70">
        <v>0</v>
      </c>
      <c r="E18" s="62">
        <v>3374.98</v>
      </c>
      <c r="F18" s="9">
        <v>170.15</v>
      </c>
      <c r="G18" s="9">
        <v>170.15</v>
      </c>
      <c r="H18" s="9">
        <v>170.15</v>
      </c>
      <c r="I18" s="9">
        <v>170.15</v>
      </c>
      <c r="J18" s="9">
        <v>170.15</v>
      </c>
      <c r="K18" s="9">
        <v>170.15</v>
      </c>
      <c r="L18" s="10">
        <v>178.57</v>
      </c>
      <c r="M18" s="10"/>
      <c r="N18" s="10"/>
      <c r="O18" s="10"/>
      <c r="P18" s="10"/>
      <c r="Q18" s="17"/>
      <c r="R18" s="45">
        <f t="shared" si="2"/>
        <v>1199.47</v>
      </c>
      <c r="S18" s="66">
        <f t="shared" si="3"/>
        <v>4574.45</v>
      </c>
    </row>
    <row r="19" spans="1:19" ht="12" customHeight="1" thickBot="1">
      <c r="A19" s="35"/>
      <c r="B19" s="29" t="s">
        <v>71</v>
      </c>
      <c r="C19" s="70"/>
      <c r="D19" s="70"/>
      <c r="E19" s="62">
        <v>329.56</v>
      </c>
      <c r="F19" s="9">
        <v>34.52</v>
      </c>
      <c r="G19" s="9">
        <v>34.52</v>
      </c>
      <c r="H19" s="9">
        <v>34.52</v>
      </c>
      <c r="I19" s="9">
        <v>34.52</v>
      </c>
      <c r="J19" s="9">
        <v>34.52</v>
      </c>
      <c r="K19" s="9">
        <v>34.52</v>
      </c>
      <c r="L19" s="10">
        <v>34.73</v>
      </c>
      <c r="M19" s="10">
        <v>34.73</v>
      </c>
      <c r="N19" s="10">
        <v>34.73</v>
      </c>
      <c r="O19" s="10">
        <v>34.73</v>
      </c>
      <c r="P19" s="10">
        <v>34.73</v>
      </c>
      <c r="Q19" s="10">
        <v>34.73</v>
      </c>
      <c r="R19" s="45">
        <f>SUM(F19:Q19)</f>
        <v>415.5000000000001</v>
      </c>
      <c r="S19" s="66">
        <f>SUM(C19:Q19)</f>
        <v>745.0600000000001</v>
      </c>
    </row>
    <row r="20" spans="1:19" ht="13.5" customHeight="1" thickBot="1">
      <c r="A20" s="35" t="s">
        <v>36</v>
      </c>
      <c r="B20" s="29" t="s">
        <v>70</v>
      </c>
      <c r="C20" s="70">
        <v>0</v>
      </c>
      <c r="D20" s="70">
        <v>0</v>
      </c>
      <c r="E20" s="62">
        <v>1056.07</v>
      </c>
      <c r="F20" s="9">
        <v>76.29</v>
      </c>
      <c r="G20" s="9">
        <v>76.29</v>
      </c>
      <c r="H20" s="9">
        <v>76.29</v>
      </c>
      <c r="I20" s="9">
        <v>76.29</v>
      </c>
      <c r="J20" s="9">
        <v>76.29</v>
      </c>
      <c r="K20" s="9">
        <v>76.29</v>
      </c>
      <c r="L20" s="10">
        <v>78.19</v>
      </c>
      <c r="M20" s="10">
        <v>78.19</v>
      </c>
      <c r="N20" s="10">
        <v>78.19</v>
      </c>
      <c r="O20" s="10">
        <v>78.19</v>
      </c>
      <c r="P20" s="10">
        <v>78.19</v>
      </c>
      <c r="Q20" s="10">
        <v>78.19</v>
      </c>
      <c r="R20" s="45">
        <f t="shared" si="2"/>
        <v>926.8800000000003</v>
      </c>
      <c r="S20" s="66">
        <f t="shared" si="3"/>
        <v>1982.95</v>
      </c>
    </row>
    <row r="21" spans="1:19" ht="13.5" customHeight="1" thickBot="1">
      <c r="A21" s="35"/>
      <c r="B21" s="29" t="s">
        <v>72</v>
      </c>
      <c r="C21" s="70"/>
      <c r="D21" s="70"/>
      <c r="E21" s="62">
        <v>212.65</v>
      </c>
      <c r="F21" s="9">
        <v>30.48</v>
      </c>
      <c r="G21" s="9">
        <v>30.48</v>
      </c>
      <c r="H21" s="9">
        <v>30.48</v>
      </c>
      <c r="I21" s="9">
        <v>30.48</v>
      </c>
      <c r="J21" s="9">
        <v>30.48</v>
      </c>
      <c r="K21" s="9">
        <v>30.48</v>
      </c>
      <c r="L21" s="10">
        <v>30.75</v>
      </c>
      <c r="M21" s="10">
        <v>30.75</v>
      </c>
      <c r="N21" s="10">
        <v>30.75</v>
      </c>
      <c r="O21" s="10">
        <v>30.75</v>
      </c>
      <c r="P21" s="10">
        <v>30.75</v>
      </c>
      <c r="Q21" s="10">
        <v>30.75</v>
      </c>
      <c r="R21" s="45">
        <f>SUM(F21:Q21)</f>
        <v>367.38</v>
      </c>
      <c r="S21" s="66">
        <f>SUM(C21:Q21)</f>
        <v>580.0300000000001</v>
      </c>
    </row>
    <row r="22" spans="1:19" ht="25.5" customHeight="1" thickBot="1">
      <c r="A22" s="35" t="s">
        <v>37</v>
      </c>
      <c r="B22" s="29" t="s">
        <v>73</v>
      </c>
      <c r="C22" s="70">
        <v>1527.26</v>
      </c>
      <c r="D22" s="70">
        <v>2352.93</v>
      </c>
      <c r="E22" s="62">
        <v>2390.09</v>
      </c>
      <c r="F22" s="9">
        <v>208.47</v>
      </c>
      <c r="G22" s="10">
        <v>191.25</v>
      </c>
      <c r="H22" s="10">
        <v>255.05</v>
      </c>
      <c r="I22" s="10">
        <v>198.89</v>
      </c>
      <c r="J22" s="10">
        <v>167.28</v>
      </c>
      <c r="K22" s="10">
        <v>242.45</v>
      </c>
      <c r="L22" s="10">
        <v>197.22</v>
      </c>
      <c r="M22" s="10">
        <v>201.69</v>
      </c>
      <c r="N22" s="10">
        <v>165.76</v>
      </c>
      <c r="O22" s="10">
        <v>248.82</v>
      </c>
      <c r="P22" s="10">
        <v>219.98</v>
      </c>
      <c r="Q22" s="17">
        <v>214.82</v>
      </c>
      <c r="R22" s="45">
        <f t="shared" si="2"/>
        <v>2511.6800000000003</v>
      </c>
      <c r="S22" s="66">
        <f t="shared" si="3"/>
        <v>8781.96</v>
      </c>
    </row>
    <row r="23" spans="1:19" ht="26.25" customHeight="1" thickBot="1">
      <c r="A23" s="35" t="s">
        <v>47</v>
      </c>
      <c r="B23" s="29" t="s">
        <v>60</v>
      </c>
      <c r="C23" s="70">
        <v>264.52</v>
      </c>
      <c r="D23" s="70">
        <v>334.73</v>
      </c>
      <c r="E23" s="62">
        <v>261.45</v>
      </c>
      <c r="F23" s="9">
        <v>20.6</v>
      </c>
      <c r="G23" s="10">
        <v>13.83</v>
      </c>
      <c r="H23" s="10">
        <v>9.82</v>
      </c>
      <c r="I23" s="10">
        <v>13.8</v>
      </c>
      <c r="J23" s="10">
        <v>12.82</v>
      </c>
      <c r="K23" s="10">
        <v>15.28</v>
      </c>
      <c r="L23" s="10">
        <v>46.74</v>
      </c>
      <c r="M23" s="10">
        <v>11.97</v>
      </c>
      <c r="N23" s="10">
        <v>14.82</v>
      </c>
      <c r="O23" s="10">
        <v>12.83</v>
      </c>
      <c r="P23" s="10">
        <v>61.35</v>
      </c>
      <c r="Q23" s="17">
        <v>19.5</v>
      </c>
      <c r="R23" s="45">
        <f t="shared" si="2"/>
        <v>253.36</v>
      </c>
      <c r="S23" s="66">
        <f t="shared" si="3"/>
        <v>1114.0600000000002</v>
      </c>
    </row>
    <row r="24" spans="1:19" ht="36" customHeight="1" thickBot="1">
      <c r="A24" s="35" t="s">
        <v>48</v>
      </c>
      <c r="B24" s="29" t="s">
        <v>61</v>
      </c>
      <c r="C24" s="70">
        <v>1908.62</v>
      </c>
      <c r="D24" s="70">
        <v>2448.48</v>
      </c>
      <c r="E24" s="62">
        <v>2498.4</v>
      </c>
      <c r="F24" s="9">
        <f>10.31+73.75+113.94</f>
        <v>198</v>
      </c>
      <c r="G24" s="10">
        <f>108.17+11.3+99.77</f>
        <v>219.24</v>
      </c>
      <c r="H24" s="10">
        <f>109.57+11.2+108.28</f>
        <v>229.05</v>
      </c>
      <c r="I24" s="10">
        <f>115.42+11.35+84.35</f>
        <v>211.12</v>
      </c>
      <c r="J24" s="10">
        <f>139.94+10.2+65.83</f>
        <v>215.96999999999997</v>
      </c>
      <c r="K24" s="10">
        <f>112.38+9.57+62.81</f>
        <v>184.76</v>
      </c>
      <c r="L24" s="10">
        <f>10.77+72.99+141.82</f>
        <v>225.57999999999998</v>
      </c>
      <c r="M24" s="10">
        <f>11.43+110.93+109.95</f>
        <v>232.31</v>
      </c>
      <c r="N24" s="10">
        <f>128.1+8.99+85.79</f>
        <v>222.88</v>
      </c>
      <c r="O24" s="10">
        <f>12.01+154.38+124.87</f>
        <v>291.26</v>
      </c>
      <c r="P24" s="10">
        <f>9.84+86.11+178.89</f>
        <v>274.84</v>
      </c>
      <c r="Q24" s="17">
        <f>162.43+11.38+145.73</f>
        <v>319.53999999999996</v>
      </c>
      <c r="R24" s="45">
        <f t="shared" si="2"/>
        <v>2824.55</v>
      </c>
      <c r="S24" s="66">
        <f t="shared" si="3"/>
        <v>9680.05</v>
      </c>
    </row>
    <row r="25" spans="1:19" ht="15.75" customHeight="1" thickBot="1">
      <c r="A25" s="35" t="s">
        <v>50</v>
      </c>
      <c r="B25" s="29" t="s">
        <v>9</v>
      </c>
      <c r="C25" s="70">
        <v>18497.77</v>
      </c>
      <c r="D25" s="70">
        <v>27314.54</v>
      </c>
      <c r="E25" s="62">
        <v>27502.93</v>
      </c>
      <c r="F25" s="9">
        <f>6787.38-3973.73</f>
        <v>2813.65</v>
      </c>
      <c r="G25" s="10">
        <f>6925.58-4321.57</f>
        <v>2604.01</v>
      </c>
      <c r="H25" s="10">
        <f>5890.54-3485.73</f>
        <v>2404.81</v>
      </c>
      <c r="I25" s="10">
        <f>11628.38-9157.39</f>
        <v>2470.99</v>
      </c>
      <c r="J25" s="10">
        <f>5653.7-3250.18</f>
        <v>2403.52</v>
      </c>
      <c r="K25" s="10">
        <f>5512.59-3124.9</f>
        <v>2387.69</v>
      </c>
      <c r="L25" s="10">
        <f>5640.63-3127.6</f>
        <v>2513.03</v>
      </c>
      <c r="M25" s="10">
        <f>5467.08-3048.19</f>
        <v>2418.89</v>
      </c>
      <c r="N25" s="10">
        <f>5176.5-2923.55</f>
        <v>2252.95</v>
      </c>
      <c r="O25" s="10">
        <f>5384.36-3089.33</f>
        <v>2295.0299999999997</v>
      </c>
      <c r="P25" s="10">
        <f>5604.77-3114.12</f>
        <v>2490.6500000000005</v>
      </c>
      <c r="Q25" s="17">
        <f>8016.36-5384.8+0.03</f>
        <v>2631.5899999999997</v>
      </c>
      <c r="R25" s="45">
        <f t="shared" si="2"/>
        <v>29686.81</v>
      </c>
      <c r="S25" s="66">
        <f t="shared" si="3"/>
        <v>103002.04999999997</v>
      </c>
    </row>
    <row r="26" spans="1:19" ht="13.5" customHeight="1" thickBot="1">
      <c r="A26" s="35" t="s">
        <v>52</v>
      </c>
      <c r="B26" s="30" t="s">
        <v>3</v>
      </c>
      <c r="C26" s="71">
        <v>6427.62</v>
      </c>
      <c r="D26" s="71">
        <v>11825.69</v>
      </c>
      <c r="E26" s="63">
        <v>11973.06</v>
      </c>
      <c r="F26" s="11">
        <f>783.35+10.36+20.01</f>
        <v>813.72</v>
      </c>
      <c r="G26" s="12">
        <f>803.23+10.36+201.01</f>
        <v>1014.6</v>
      </c>
      <c r="H26" s="12">
        <f>768.44+10.36+201.01</f>
        <v>979.8100000000001</v>
      </c>
      <c r="I26" s="12">
        <f>773.4+10.36+201.01</f>
        <v>984.77</v>
      </c>
      <c r="J26" s="12">
        <f>778.4+10.36+201.01</f>
        <v>989.77</v>
      </c>
      <c r="K26" s="12">
        <f>783.35+10.36+201.01</f>
        <v>994.72</v>
      </c>
      <c r="L26" s="12">
        <f>763.5+10.36+201.01</f>
        <v>974.87</v>
      </c>
      <c r="M26" s="12">
        <f>805+10.75+201.01</f>
        <v>1016.76</v>
      </c>
      <c r="N26" s="12">
        <f>759.6+4+201.01</f>
        <v>964.61</v>
      </c>
      <c r="O26" s="12">
        <f>792.3+4+201.01</f>
        <v>997.31</v>
      </c>
      <c r="P26" s="12">
        <f>802.5+4+201.01</f>
        <v>1007.51</v>
      </c>
      <c r="Q26" s="18">
        <f>782.1+4+201.01</f>
        <v>987.11</v>
      </c>
      <c r="R26" s="45">
        <f t="shared" si="2"/>
        <v>11725.560000000001</v>
      </c>
      <c r="S26" s="66">
        <f t="shared" si="3"/>
        <v>41951.93</v>
      </c>
    </row>
    <row r="27" spans="1:19" ht="13.5" customHeight="1" thickBot="1">
      <c r="A27" s="35"/>
      <c r="B27" s="37" t="s">
        <v>53</v>
      </c>
      <c r="C27" s="72">
        <f>C8*5%</f>
        <v>2734.559</v>
      </c>
      <c r="D27" s="82">
        <f>D8*5%</f>
        <v>4117.1495</v>
      </c>
      <c r="E27" s="55">
        <f>E8*5%</f>
        <v>3194.01</v>
      </c>
      <c r="F27" s="54">
        <f>F8*5%</f>
        <v>266.1675</v>
      </c>
      <c r="G27" s="54">
        <f aca="true" t="shared" si="4" ref="G27:Q27">G8*5%</f>
        <v>266.1675</v>
      </c>
      <c r="H27" s="54">
        <f t="shared" si="4"/>
        <v>266.1675</v>
      </c>
      <c r="I27" s="54">
        <f t="shared" si="4"/>
        <v>266.1675</v>
      </c>
      <c r="J27" s="54">
        <f t="shared" si="4"/>
        <v>266.1675</v>
      </c>
      <c r="K27" s="54">
        <f t="shared" si="4"/>
        <v>266.1675</v>
      </c>
      <c r="L27" s="54">
        <f t="shared" si="4"/>
        <v>266.1675</v>
      </c>
      <c r="M27" s="54">
        <f t="shared" si="4"/>
        <v>266.1675</v>
      </c>
      <c r="N27" s="54">
        <f t="shared" si="4"/>
        <v>266.1675</v>
      </c>
      <c r="O27" s="54">
        <f t="shared" si="4"/>
        <v>266.1675</v>
      </c>
      <c r="P27" s="54">
        <f t="shared" si="4"/>
        <v>266.1675</v>
      </c>
      <c r="Q27" s="54">
        <f t="shared" si="4"/>
        <v>266.1675</v>
      </c>
      <c r="R27" s="55">
        <f t="shared" si="2"/>
        <v>3194.01</v>
      </c>
      <c r="S27" s="51"/>
    </row>
    <row r="28" spans="1:19" ht="15" customHeight="1" thickBot="1">
      <c r="A28" s="35" t="s">
        <v>51</v>
      </c>
      <c r="B28" s="50" t="s">
        <v>46</v>
      </c>
      <c r="C28" s="73"/>
      <c r="D28" s="73"/>
      <c r="E28" s="84">
        <f aca="true" t="shared" si="5" ref="E28:Q28">SUM(E8+E9+E10-E11)-E27</f>
        <v>10450.74</v>
      </c>
      <c r="F28" s="56">
        <f t="shared" si="5"/>
        <v>166.1624999999999</v>
      </c>
      <c r="G28" s="56">
        <f t="shared" si="5"/>
        <v>27.96249999999918</v>
      </c>
      <c r="H28" s="56">
        <f t="shared" si="5"/>
        <v>1063.0024999999991</v>
      </c>
      <c r="I28" s="56">
        <f t="shared" si="5"/>
        <v>-4674.8375000000015</v>
      </c>
      <c r="J28" s="56">
        <f t="shared" si="5"/>
        <v>1299.8424999999993</v>
      </c>
      <c r="K28" s="56">
        <f t="shared" si="5"/>
        <v>1440.952499999999</v>
      </c>
      <c r="L28" s="56">
        <f t="shared" si="5"/>
        <v>1340.2425000000007</v>
      </c>
      <c r="M28" s="56">
        <f t="shared" si="5"/>
        <v>1335.2225000000012</v>
      </c>
      <c r="N28" s="56">
        <f t="shared" si="5"/>
        <v>1625.802500000002</v>
      </c>
      <c r="O28" s="56">
        <f t="shared" si="5"/>
        <v>1417.9425000000024</v>
      </c>
      <c r="P28" s="56">
        <f t="shared" si="5"/>
        <v>1197.5325000000007</v>
      </c>
      <c r="Q28" s="56">
        <f t="shared" si="5"/>
        <v>-1214.0874999999992</v>
      </c>
      <c r="R28" s="55">
        <f t="shared" si="2"/>
        <v>5025.740000000003</v>
      </c>
      <c r="S28" s="51"/>
    </row>
    <row r="29" spans="1:19" ht="23.25" customHeight="1" thickBot="1">
      <c r="A29" s="35" t="s">
        <v>38</v>
      </c>
      <c r="B29" s="31" t="s">
        <v>23</v>
      </c>
      <c r="C29" s="74">
        <f>SUM(C8-C11)-C27</f>
        <v>6977.960999999997</v>
      </c>
      <c r="D29" s="83">
        <f>SUM(D8-D11)-D27</f>
        <v>8686.320500000002</v>
      </c>
      <c r="E29" s="76">
        <f>SUM(E8+E9+E10-E11)-E27</f>
        <v>10450.74</v>
      </c>
      <c r="F29" s="57">
        <f>SUM(F8+F9+F10-F11)-F27</f>
        <v>166.1624999999999</v>
      </c>
      <c r="G29" s="58">
        <f>SUM(G28+F29)</f>
        <v>194.1249999999991</v>
      </c>
      <c r="H29" s="58">
        <f aca="true" t="shared" si="6" ref="H29:Q29">SUM(H28+G29)</f>
        <v>1257.1274999999982</v>
      </c>
      <c r="I29" s="58">
        <f t="shared" si="6"/>
        <v>-3417.710000000003</v>
      </c>
      <c r="J29" s="58">
        <f t="shared" si="6"/>
        <v>-2117.867500000004</v>
      </c>
      <c r="K29" s="58">
        <f t="shared" si="6"/>
        <v>-676.915000000005</v>
      </c>
      <c r="L29" s="58">
        <f t="shared" si="6"/>
        <v>663.3274999999958</v>
      </c>
      <c r="M29" s="58">
        <f t="shared" si="6"/>
        <v>1998.549999999997</v>
      </c>
      <c r="N29" s="58">
        <f t="shared" si="6"/>
        <v>3624.352499999999</v>
      </c>
      <c r="O29" s="58">
        <f t="shared" si="6"/>
        <v>5042.295000000002</v>
      </c>
      <c r="P29" s="58">
        <f t="shared" si="6"/>
        <v>6239.827500000003</v>
      </c>
      <c r="Q29" s="58">
        <f t="shared" si="6"/>
        <v>5025.740000000003</v>
      </c>
      <c r="R29" s="46"/>
      <c r="S29" s="52"/>
    </row>
    <row r="30" spans="1:19" ht="0.75" customHeight="1" thickBot="1">
      <c r="A30" s="35" t="s">
        <v>39</v>
      </c>
      <c r="B30" s="38" t="s">
        <v>24</v>
      </c>
      <c r="C30" s="75">
        <v>6977.96</v>
      </c>
      <c r="D30" s="72">
        <f>SUM(D29+C30)</f>
        <v>15664.2805</v>
      </c>
      <c r="E30" s="55">
        <f>SUM(E29+D30)</f>
        <v>26115.0205</v>
      </c>
      <c r="F30" s="72">
        <f>SUM(F29+E30)</f>
        <v>26281.182999999997</v>
      </c>
      <c r="G30" s="59">
        <f aca="true" t="shared" si="7" ref="G30:P30">SUM(G28+F30)</f>
        <v>26309.145499999995</v>
      </c>
      <c r="H30" s="59">
        <f t="shared" si="7"/>
        <v>27372.147999999994</v>
      </c>
      <c r="I30" s="59">
        <f t="shared" si="7"/>
        <v>22697.310499999992</v>
      </c>
      <c r="J30" s="59">
        <f t="shared" si="7"/>
        <v>23997.15299999999</v>
      </c>
      <c r="K30" s="59">
        <f t="shared" si="7"/>
        <v>25438.10549999999</v>
      </c>
      <c r="L30" s="59">
        <f t="shared" si="7"/>
        <v>26778.34799999999</v>
      </c>
      <c r="M30" s="59">
        <f t="shared" si="7"/>
        <v>28113.57049999999</v>
      </c>
      <c r="N30" s="59">
        <f t="shared" si="7"/>
        <v>29739.372999999992</v>
      </c>
      <c r="O30" s="59">
        <f t="shared" si="7"/>
        <v>31157.315499999993</v>
      </c>
      <c r="P30" s="59">
        <f t="shared" si="7"/>
        <v>32354.847999999994</v>
      </c>
      <c r="Q30" s="59">
        <f>SUM(Q28+P30)-0.03</f>
        <v>31140.730499999998</v>
      </c>
      <c r="R30" s="45"/>
      <c r="S30" s="53"/>
    </row>
    <row r="31" spans="1:19" ht="8.25" customHeight="1" hidden="1" thickBot="1">
      <c r="A31" s="35" t="s">
        <v>40</v>
      </c>
      <c r="B31" s="38" t="s">
        <v>7</v>
      </c>
      <c r="C31" s="60"/>
      <c r="D31" s="60"/>
      <c r="E31" s="60"/>
      <c r="F31" s="1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9"/>
      <c r="R31" s="45"/>
      <c r="S31" s="41"/>
    </row>
    <row r="32" spans="1:19" ht="15" customHeight="1" hidden="1" thickBot="1">
      <c r="A32" s="36" t="s">
        <v>41</v>
      </c>
      <c r="B32" s="32" t="s">
        <v>25</v>
      </c>
      <c r="C32" s="60"/>
      <c r="D32" s="60"/>
      <c r="E32" s="60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9"/>
      <c r="R32" s="47"/>
      <c r="S32" s="42"/>
    </row>
    <row r="33" spans="1:19" ht="0.75" customHeight="1" hidden="1" thickBot="1">
      <c r="A33" s="36" t="s">
        <v>42</v>
      </c>
      <c r="B33" s="33" t="s">
        <v>43</v>
      </c>
      <c r="C33" s="61"/>
      <c r="D33" s="61"/>
      <c r="E33" s="61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3">
        <f>SUM(Q29-Q31)</f>
        <v>5025.740000000003</v>
      </c>
      <c r="R33" s="48"/>
      <c r="S33" s="43"/>
    </row>
    <row r="34" spans="1:19" ht="24" customHeight="1" hidden="1" thickBot="1">
      <c r="A34" s="39" t="s">
        <v>45</v>
      </c>
      <c r="B34" s="33" t="s">
        <v>26</v>
      </c>
      <c r="C34" s="61"/>
      <c r="D34" s="61"/>
      <c r="E34" s="61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>
        <f>SUM(Q30-Q31)</f>
        <v>31140.730499999998</v>
      </c>
      <c r="R34" s="48"/>
      <c r="S34" s="43"/>
    </row>
    <row r="35" spans="6:19" ht="3" customHeight="1" hidden="1"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</row>
    <row r="36" ht="12.75">
      <c r="B36" t="s">
        <v>62</v>
      </c>
    </row>
    <row r="37" ht="6" customHeight="1" hidden="1"/>
    <row r="38" ht="12.75" hidden="1"/>
    <row r="39" ht="12.75" hidden="1"/>
    <row r="44" ht="12.75" customHeight="1"/>
    <row r="45" ht="12.75" customHeight="1"/>
  </sheetData>
  <sheetProtection/>
  <mergeCells count="5">
    <mergeCell ref="B4:S4"/>
    <mergeCell ref="B5:S5"/>
    <mergeCell ref="B3:S3"/>
    <mergeCell ref="B1:H1"/>
    <mergeCell ref="B2:Q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2019-02-11T13:19:39Z</cp:lastPrinted>
  <dcterms:created xsi:type="dcterms:W3CDTF">2011-06-16T11:06:26Z</dcterms:created>
  <dcterms:modified xsi:type="dcterms:W3CDTF">2019-02-13T05:19:30Z</dcterms:modified>
  <cp:category/>
  <cp:version/>
  <cp:contentType/>
  <cp:contentStatus/>
</cp:coreProperties>
</file>