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<sst xmlns="http://schemas.openxmlformats.org/spreadsheetml/2006/main" count="78" uniqueCount="78">
  <si>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</si>
  <si>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</si>
  <si>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</si>
  <si>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</si>
  <si>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</si>
  <si>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</si>
  <si>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</si>
  <si>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</si>
  <si>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</si>
  <si>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</si>
  <si>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</si>
  <si>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</si>
  <si>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</si>
  <si>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</si>
  <si>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</si>
  <si>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</si>
  <si>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</si>
  <si>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</si>
  <si>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</si>
  <si>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</si>
  <si>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</si>
  <si>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</si>
  <si>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</si>
  <si>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</si>
  <si>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</si>
  <si>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</si>
  <si>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</si>
  <si>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</si>
  <si>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</si>
  <si>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</si>
  <si>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</si>
  <si>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</si>
  <si>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</si>
  <si>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</si>
  <si>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4.7</t>
  </si>
  <si>
    <t>4.11</t>
  </si>
  <si>
    <t>6</t>
  </si>
  <si>
    <t>7</t>
  </si>
  <si>
    <t>8</t>
  </si>
  <si>
    <t>9</t>
  </si>
  <si>
    <t>10</t>
  </si>
  <si>
    <t>Финансовый результат по дому с начала года</t>
  </si>
  <si>
    <t>Благоустройство  территории</t>
  </si>
  <si>
    <t>11</t>
  </si>
  <si>
    <t>Результат за месяц</t>
  </si>
  <si>
    <t>4,12</t>
  </si>
  <si>
    <t>4.13</t>
  </si>
  <si>
    <t xml:space="preserve">Материалы </t>
  </si>
  <si>
    <t>4.14</t>
  </si>
  <si>
    <t>5</t>
  </si>
  <si>
    <t>4.15</t>
  </si>
  <si>
    <t>рентабельность 5%</t>
  </si>
  <si>
    <t>Итого за 2015</t>
  </si>
  <si>
    <t>Услуги сторонних орган.</t>
  </si>
  <si>
    <t>по жилому дому г. Унеча ул. Луначарского  д.5</t>
  </si>
  <si>
    <t>4.4</t>
  </si>
  <si>
    <t>Проверка вент.каналов</t>
  </si>
  <si>
    <t xml:space="preserve">Расходы на управление,аренда, связь </t>
  </si>
  <si>
    <t>Исполнитель  вед. экономист /Викторова Л.С/</t>
  </si>
  <si>
    <t xml:space="preserve">Услуги агентские,охрана труда,отопление, хол.вода, эл.энегрия   </t>
  </si>
  <si>
    <t>66518,14</t>
  </si>
  <si>
    <t>Итого за 2016</t>
  </si>
  <si>
    <t>Дом по ул.Луначарского д. 5 вступил в ООО "Наш дом" с мая 2015 года                              тариф 11,50 руб</t>
  </si>
  <si>
    <t>4.8</t>
  </si>
  <si>
    <t>Дератизация</t>
  </si>
  <si>
    <t>103544,58</t>
  </si>
  <si>
    <t>Итого за 2017</t>
  </si>
  <si>
    <t>Начислено   СОИД</t>
  </si>
  <si>
    <t>Начислено  нежилые</t>
  </si>
  <si>
    <t>4.9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</si>
  <si>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</si>
  <si>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</si>
  <si>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</si>
  <si>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</si>
  <si>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Транспортные(ГСМ,зап.части,амортизация,страхование )</t>
  </si>
  <si>
    <t>103345,31</t>
  </si>
  <si>
    <t>Итого за 2018</t>
  </si>
  <si>
    <t>Всего за 2015-2018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</si>
</sst>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1" fillId="0" borderId="34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1" fillId="0" borderId="36" xfId="0" applyFont="1" applyBorder="1" applyAlignment="1">
      <alignment wrapText="1"/>
    </xf>
    <xf numFmtId="2" fontId="20" fillId="0" borderId="37" xfId="0" applyNumberFormat="1" applyFont="1" applyBorder="1" applyAlignment="1">
      <alignment/>
    </xf>
    <xf numFmtId="0" fontId="20" fillId="0" borderId="26" xfId="0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2" fontId="21" fillId="0" borderId="19" xfId="0" applyNumberFormat="1" applyFont="1" applyBorder="1" applyAlignment="1">
      <alignment/>
    </xf>
    <xf numFmtId="49" fontId="0" fillId="0" borderId="34" xfId="0" applyNumberFormat="1" applyBorder="1" applyAlignment="1">
      <alignment horizontal="center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0" borderId="31" xfId="0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49" fontId="21" fillId="0" borderId="40" xfId="0" applyNumberFormat="1" applyFont="1" applyBorder="1" applyAlignment="1">
      <alignment horizontal="right" wrapText="1"/>
    </xf>
    <xf numFmtId="0" fontId="21" fillId="0" borderId="32" xfId="0" applyFont="1" applyBorder="1" applyAlignment="1">
      <alignment horizontal="right" wrapText="1"/>
    </xf>
    <xf numFmtId="0" fontId="25" fillId="0" borderId="31" xfId="0" applyFont="1" applyBorder="1" applyAlignment="1">
      <alignment/>
    </xf>
    <xf numFmtId="2" fontId="25" fillId="0" borderId="37" xfId="0" applyNumberFormat="1" applyFont="1" applyBorder="1" applyAlignment="1">
      <alignment/>
    </xf>
    <xf numFmtId="0" fontId="24" fillId="0" borderId="42" xfId="0" applyFont="1" applyBorder="1" applyAlignment="1">
      <alignment wrapText="1"/>
    </xf>
    <xf numFmtId="49" fontId="21" fillId="0" borderId="43" xfId="0" applyNumberFormat="1" applyFont="1" applyBorder="1" applyAlignment="1">
      <alignment horizontal="right" wrapText="1"/>
    </xf>
    <xf numFmtId="0" fontId="21" fillId="0" borderId="44" xfId="0" applyFont="1" applyBorder="1" applyAlignment="1">
      <alignment horizontal="right" wrapText="1"/>
    </xf>
    <xf numFmtId="0" fontId="21" fillId="0" borderId="44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2" fontId="21" fillId="0" borderId="46" xfId="0" applyNumberFormat="1" applyFont="1" applyBorder="1" applyAlignment="1">
      <alignment/>
    </xf>
    <xf numFmtId="0" fontId="21" fillId="0" borderId="47" xfId="0" applyFont="1" applyBorder="1" applyAlignment="1">
      <alignment wrapText="1"/>
    </xf>
    <xf numFmtId="2" fontId="21" fillId="0" borderId="24" xfId="0" applyNumberFormat="1" applyFont="1" applyBorder="1" applyAlignment="1">
      <alignment/>
    </xf>
    <xf numFmtId="0" fontId="26" fillId="0" borderId="31" xfId="0" applyFont="1" applyBorder="1" applyAlignment="1">
      <alignment wrapText="1"/>
    </xf>
    <xf numFmtId="0" fontId="24" fillId="0" borderId="43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2" fontId="21" fillId="0" borderId="48" xfId="0" applyNumberFormat="1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7" fillId="0" borderId="48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46" xfId="0" applyFont="1" applyBorder="1" applyAlignment="1">
      <alignment/>
    </xf>
    <xf numFmtId="0" fontId="28" fillId="0" borderId="31" xfId="0" applyFont="1" applyBorder="1" applyAlignment="1">
      <alignment/>
    </xf>
    <xf numFmtId="0" fontId="22" fillId="0" borderId="0" xfId="0" applyFont="1" applyAlignment="1">
      <alignment/>
    </xf>
    <xf numFmtId="0" fontId="27" fillId="0" borderId="26" xfId="0" applyFont="1" applyBorder="1" applyAlignment="1">
      <alignment wrapText="1"/>
    </xf>
    <xf numFmtId="2" fontId="27" fillId="0" borderId="46" xfId="0" applyNumberFormat="1" applyFont="1" applyBorder="1" applyAlignment="1">
      <alignment/>
    </xf>
    <xf numFmtId="2" fontId="27" fillId="0" borderId="48" xfId="0" applyNumberFormat="1" applyFont="1" applyBorder="1" applyAlignment="1">
      <alignment/>
    </xf>
    <xf numFmtId="2" fontId="27" fillId="0" borderId="34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34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5">
      <selection activeCell="U25" sqref="U25"/>
    </sheetView>
  </sheetViews>
  <sheetFormatPr defaultColWidth="9.00390625" defaultRowHeight="12.75"/>
  <cols>
    <col min="1" max="1" width="0.2421875" style="24" customWidth="1"/>
    <col min="2" max="2" width="23.75390625" style="0" customWidth="1"/>
    <col min="3" max="3" width="10.00390625" style="0" hidden="1" customWidth="1"/>
    <col min="4" max="4" width="9.75390625" style="0" hidden="1" customWidth="1"/>
    <col min="5" max="5" width="8.75390625" style="0" hidden="1" customWidth="1"/>
    <col min="6" max="6" width="8.625" style="0" customWidth="1"/>
    <col min="7" max="7" width="8.875" style="0" customWidth="1"/>
    <col min="8" max="9" width="8.375" style="0" customWidth="1"/>
    <col min="10" max="10" width="8.125" style="0" customWidth="1"/>
    <col min="11" max="13" width="8.25390625" style="0" customWidth="1"/>
    <col min="14" max="14" width="8.375" style="0" customWidth="1"/>
    <col min="15" max="16" width="8.625" style="0" customWidth="1"/>
    <col min="17" max="17" width="8.25390625" style="0" customWidth="1"/>
    <col min="18" max="18" width="9.125" style="0" customWidth="1"/>
    <col min="19" max="19" width="9.625" style="0" customWidth="1"/>
  </cols>
  <sheetData>
    <row r="1" spans="2:24" ht="12.75" customHeight="1">
      <c r="B1" s="100" t="s">
        <v>8</v>
      </c>
      <c r="C1" s="100"/>
      <c r="D1" s="100"/>
      <c r="E1" s="100"/>
      <c r="F1" s="100"/>
      <c r="G1" s="100"/>
      <c r="H1" s="10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 customHeight="1">
      <c r="B2" s="100" t="s">
        <v>62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101"/>
      <c r="R2" s="4"/>
      <c r="S2" s="4"/>
      <c r="T2" s="4"/>
      <c r="U2" s="4"/>
      <c r="V2" s="4"/>
      <c r="W2" s="4"/>
      <c r="X2" s="4"/>
    </row>
    <row r="3" spans="2:24" ht="12.75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3"/>
      <c r="U3" s="3"/>
      <c r="V3" s="3"/>
      <c r="W3" s="3"/>
      <c r="X3" s="3"/>
    </row>
    <row r="4" spans="2:24" ht="21.75" customHeight="1">
      <c r="B4" s="98" t="s">
        <v>10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2"/>
      <c r="U4" s="2"/>
      <c r="V4" s="2"/>
      <c r="W4" s="2"/>
      <c r="X4" s="2"/>
    </row>
    <row r="5" spans="2:24" ht="15.75" customHeight="1" thickBot="1">
      <c r="B5" s="98" t="s">
        <v>54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2"/>
      <c r="U5" s="2"/>
      <c r="V5" s="2"/>
      <c r="W5" s="2"/>
      <c r="X5" s="2"/>
    </row>
    <row r="6" spans="2:24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</row>
    <row r="7" spans="1:24" ht="32.25" customHeight="1" thickBot="1">
      <c r="A7" s="33" t="s">
        <v>27</v>
      </c>
      <c r="B7" s="25" t="s">
        <v>6</v>
      </c>
      <c r="C7" s="43" t="s">
        <v>52</v>
      </c>
      <c r="D7" s="43" t="s">
        <v>61</v>
      </c>
      <c r="E7" s="43" t="s">
        <v>66</v>
      </c>
      <c r="F7" s="6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22</v>
      </c>
      <c r="Q7" s="15" t="s">
        <v>21</v>
      </c>
      <c r="R7" s="43" t="s">
        <v>76</v>
      </c>
      <c r="S7" s="39" t="s">
        <v>77</v>
      </c>
      <c r="T7" s="1"/>
      <c r="U7" s="1"/>
      <c r="V7" s="1"/>
      <c r="W7" s="1"/>
      <c r="X7" s="1"/>
    </row>
    <row r="8" spans="1:19" ht="13.5" thickBot="1">
      <c r="A8" s="34" t="s">
        <v>28</v>
      </c>
      <c r="B8" s="26" t="s">
        <v>1</v>
      </c>
      <c r="C8" s="67">
        <v>378872.78</v>
      </c>
      <c r="D8" s="78">
        <v>641812.54</v>
      </c>
      <c r="E8" s="75">
        <v>601624.86</v>
      </c>
      <c r="F8" s="7">
        <v>50126.78</v>
      </c>
      <c r="G8" s="7">
        <v>50126.78</v>
      </c>
      <c r="H8" s="7">
        <v>50126.78</v>
      </c>
      <c r="I8" s="7">
        <v>50126.78</v>
      </c>
      <c r="J8" s="7">
        <v>50126.78</v>
      </c>
      <c r="K8" s="7">
        <v>50126.78</v>
      </c>
      <c r="L8" s="8">
        <v>50107.23</v>
      </c>
      <c r="M8" s="8">
        <v>50107.23</v>
      </c>
      <c r="N8" s="8">
        <v>50107.23</v>
      </c>
      <c r="O8" s="8">
        <v>50107.23</v>
      </c>
      <c r="P8" s="8">
        <v>50107.23</v>
      </c>
      <c r="Q8" s="8">
        <v>50107.23</v>
      </c>
      <c r="R8" s="60">
        <f>SUM(F8:Q8)</f>
        <v>601404.0599999999</v>
      </c>
      <c r="S8" s="65">
        <f>SUM(C8:Q8)</f>
        <v>2223714.24</v>
      </c>
    </row>
    <row r="9" spans="1:19" ht="13.5" thickBot="1">
      <c r="A9" s="34"/>
      <c r="B9" s="26" t="s">
        <v>67</v>
      </c>
      <c r="C9" s="76"/>
      <c r="D9" s="79"/>
      <c r="E9" s="77">
        <v>62137.38</v>
      </c>
      <c r="F9" s="7">
        <f>3784.73+165.73+241.12+668.31</f>
        <v>4859.889999999999</v>
      </c>
      <c r="G9" s="7">
        <f>3784.7+165.73+241.12+668.31</f>
        <v>4859.860000000001</v>
      </c>
      <c r="H9" s="7">
        <f>3784.7+165.73+241.12+668.31</f>
        <v>4859.860000000001</v>
      </c>
      <c r="I9" s="7">
        <f>3784.7+165.73+241.12+668.31</f>
        <v>4859.860000000001</v>
      </c>
      <c r="J9" s="7">
        <f>3784.7+165.73+241.12+668.31</f>
        <v>4859.860000000001</v>
      </c>
      <c r="K9" s="7">
        <f>3784.7+165.73+241.12+668.31</f>
        <v>4859.860000000001</v>
      </c>
      <c r="L9" s="8">
        <f>3972.3+166.8+243.22+684.71</f>
        <v>5067.030000000001</v>
      </c>
      <c r="M9" s="8">
        <f>166.8+243.22+684.71</f>
        <v>1094.73</v>
      </c>
      <c r="N9" s="8">
        <f>166.8+243.22+684.71</f>
        <v>1094.73</v>
      </c>
      <c r="O9" s="8">
        <f>166.8+243.22+684.71</f>
        <v>1094.73</v>
      </c>
      <c r="P9" s="8">
        <f>166.8+243.22+684.71</f>
        <v>1094.73</v>
      </c>
      <c r="Q9" s="8">
        <f>166.8+243.22+684.71</f>
        <v>1094.73</v>
      </c>
      <c r="R9" s="60">
        <f>SUM(F9:Q9)</f>
        <v>39699.87000000002</v>
      </c>
      <c r="S9" s="65">
        <f>SUM(C9:Q9)</f>
        <v>101837.24999999997</v>
      </c>
    </row>
    <row r="10" spans="1:19" ht="13.5" thickBot="1">
      <c r="A10" s="34"/>
      <c r="B10" s="26" t="s">
        <v>68</v>
      </c>
      <c r="C10" s="76"/>
      <c r="D10" s="79"/>
      <c r="E10" s="77">
        <v>66133.94</v>
      </c>
      <c r="F10" s="7">
        <v>5582.51</v>
      </c>
      <c r="G10" s="7">
        <v>5582.51</v>
      </c>
      <c r="H10" s="7">
        <v>5582.51</v>
      </c>
      <c r="I10" s="7">
        <v>5582.51</v>
      </c>
      <c r="J10" s="7">
        <v>5582.51</v>
      </c>
      <c r="K10" s="7">
        <v>5582.51</v>
      </c>
      <c r="L10" s="8">
        <v>5612.63</v>
      </c>
      <c r="M10" s="8">
        <v>5612.63</v>
      </c>
      <c r="N10" s="8">
        <v>5612.63</v>
      </c>
      <c r="O10" s="8">
        <v>5612.63</v>
      </c>
      <c r="P10" s="8">
        <v>5612.63</v>
      </c>
      <c r="Q10" s="8">
        <v>5612.63</v>
      </c>
      <c r="R10" s="60">
        <f>SUM(F10:Q10)</f>
        <v>67170.84</v>
      </c>
      <c r="S10" s="65">
        <f>SUM(C10:Q10)</f>
        <v>133304.78</v>
      </c>
    </row>
    <row r="11" spans="1:19" s="90" customFormat="1" ht="13.5" thickBot="1">
      <c r="A11" s="83" t="s">
        <v>29</v>
      </c>
      <c r="B11" s="84" t="s">
        <v>2</v>
      </c>
      <c r="C11" s="85">
        <v>404050.99</v>
      </c>
      <c r="D11" s="85">
        <v>595392.82</v>
      </c>
      <c r="E11" s="86">
        <v>639275.58</v>
      </c>
      <c r="F11" s="87">
        <f>SUM(F12:F27)</f>
        <v>51283.82</v>
      </c>
      <c r="G11" s="87">
        <f aca="true" t="shared" si="0" ref="G11:Q11">SUM(G12:G27)</f>
        <v>52899.119999999995</v>
      </c>
      <c r="H11" s="87">
        <f t="shared" si="0"/>
        <v>49674.11</v>
      </c>
      <c r="I11" s="87">
        <f t="shared" si="0"/>
        <v>71878.47</v>
      </c>
      <c r="J11" s="87">
        <f t="shared" si="0"/>
        <v>76741.57999999999</v>
      </c>
      <c r="K11" s="87">
        <f t="shared" si="0"/>
        <v>52168.23999999999</v>
      </c>
      <c r="L11" s="87">
        <f t="shared" si="0"/>
        <v>51971.81</v>
      </c>
      <c r="M11" s="87">
        <f t="shared" si="0"/>
        <v>46109.4</v>
      </c>
      <c r="N11" s="87">
        <f t="shared" si="0"/>
        <v>43613.08</v>
      </c>
      <c r="O11" s="87">
        <f t="shared" si="0"/>
        <v>58205.45</v>
      </c>
      <c r="P11" s="87">
        <f t="shared" si="0"/>
        <v>48576.7</v>
      </c>
      <c r="Q11" s="88">
        <f t="shared" si="0"/>
        <v>56221.96000000001</v>
      </c>
      <c r="R11" s="86">
        <f>SUM(F11:Q11)</f>
        <v>659343.7399999999</v>
      </c>
      <c r="S11" s="89">
        <f>SUM(C11:Q11)</f>
        <v>2298063.1300000004</v>
      </c>
    </row>
    <row r="12" spans="1:19" ht="13.5" thickBot="1">
      <c r="A12" s="34" t="s">
        <v>30</v>
      </c>
      <c r="B12" s="28" t="s">
        <v>4</v>
      </c>
      <c r="C12" s="68" t="s">
        <v>60</v>
      </c>
      <c r="D12" s="68" t="s">
        <v>65</v>
      </c>
      <c r="E12" s="63" t="s">
        <v>75</v>
      </c>
      <c r="F12" s="7">
        <f>7897+310.33</f>
        <v>8207.33</v>
      </c>
      <c r="G12" s="8">
        <f>7897+340.42</f>
        <v>8237.42</v>
      </c>
      <c r="H12" s="8">
        <f>7897+241.74</f>
        <v>8138.74</v>
      </c>
      <c r="I12" s="8">
        <f>8480+731.16</f>
        <v>9211.16</v>
      </c>
      <c r="J12" s="8">
        <f>8533+687.06</f>
        <v>9220.06</v>
      </c>
      <c r="K12" s="8">
        <f>8427+693.64</f>
        <v>9120.64</v>
      </c>
      <c r="L12" s="8">
        <f>8162+574.79</f>
        <v>8736.79</v>
      </c>
      <c r="M12" s="8">
        <f>8162+726.71</f>
        <v>8888.71</v>
      </c>
      <c r="N12" s="8">
        <f>8162+540.17</f>
        <v>8702.17</v>
      </c>
      <c r="O12" s="8">
        <f>8162+438.3</f>
        <v>8600.3</v>
      </c>
      <c r="P12" s="8">
        <f>8162+508.81</f>
        <v>8670.81</v>
      </c>
      <c r="Q12" s="16">
        <f>8109+464.89</f>
        <v>8573.89</v>
      </c>
      <c r="R12" s="44">
        <f aca="true" t="shared" si="1" ref="R12:R29">SUM(F12:Q12)</f>
        <v>104308.01999999999</v>
      </c>
      <c r="S12" s="65">
        <f aca="true" t="shared" si="2" ref="S12:S27">SUM(C12:Q12)</f>
        <v>104308.01999999999</v>
      </c>
    </row>
    <row r="13" spans="1:19" ht="12.75" customHeight="1" thickBot="1">
      <c r="A13" s="34" t="s">
        <v>31</v>
      </c>
      <c r="B13" s="29" t="s">
        <v>53</v>
      </c>
      <c r="C13" s="69">
        <v>9222.13</v>
      </c>
      <c r="D13" s="69">
        <v>9270.35</v>
      </c>
      <c r="E13" s="64">
        <v>5320</v>
      </c>
      <c r="F13" s="9"/>
      <c r="G13" s="10"/>
      <c r="H13" s="10">
        <v>210</v>
      </c>
      <c r="I13" s="10"/>
      <c r="J13" s="10">
        <v>8000</v>
      </c>
      <c r="K13" s="10">
        <v>1000</v>
      </c>
      <c r="L13" s="10"/>
      <c r="M13" s="10"/>
      <c r="N13" s="10"/>
      <c r="O13" s="10"/>
      <c r="P13" s="10"/>
      <c r="Q13" s="17"/>
      <c r="R13" s="44">
        <f>SUM(F13:Q13)</f>
        <v>9210</v>
      </c>
      <c r="S13" s="65">
        <f t="shared" si="2"/>
        <v>33022.479999999996</v>
      </c>
    </row>
    <row r="14" spans="1:19" ht="14.25" customHeight="1" thickBot="1">
      <c r="A14" s="34" t="s">
        <v>32</v>
      </c>
      <c r="B14" s="27" t="s">
        <v>5</v>
      </c>
      <c r="C14" s="69">
        <v>14774</v>
      </c>
      <c r="D14" s="69">
        <v>0</v>
      </c>
      <c r="E14" s="64">
        <v>0</v>
      </c>
      <c r="F14" s="9"/>
      <c r="G14" s="10"/>
      <c r="H14" s="10"/>
      <c r="I14" s="10">
        <v>20577.05</v>
      </c>
      <c r="J14" s="10"/>
      <c r="K14" s="10"/>
      <c r="L14" s="10"/>
      <c r="M14" s="10"/>
      <c r="N14" s="10"/>
      <c r="O14" s="10"/>
      <c r="P14" s="10"/>
      <c r="Q14" s="17"/>
      <c r="R14" s="44">
        <f t="shared" si="1"/>
        <v>20577.05</v>
      </c>
      <c r="S14" s="65">
        <f t="shared" si="2"/>
        <v>35351.05</v>
      </c>
    </row>
    <row r="15" spans="1:19" ht="14.25" customHeight="1" thickBot="1">
      <c r="A15" s="34" t="s">
        <v>55</v>
      </c>
      <c r="B15" s="27" t="s">
        <v>56</v>
      </c>
      <c r="C15" s="69">
        <v>2500</v>
      </c>
      <c r="D15" s="69">
        <v>0</v>
      </c>
      <c r="E15" s="64">
        <v>3200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7">
        <v>3100</v>
      </c>
      <c r="R15" s="44">
        <f t="shared" si="1"/>
        <v>3100</v>
      </c>
      <c r="S15" s="65">
        <f t="shared" si="2"/>
        <v>8800</v>
      </c>
    </row>
    <row r="16" spans="1:19" ht="12" customHeight="1" thickBot="1">
      <c r="A16" s="34" t="s">
        <v>33</v>
      </c>
      <c r="B16" s="29" t="s">
        <v>47</v>
      </c>
      <c r="C16" s="70">
        <v>47648.23</v>
      </c>
      <c r="D16" s="70">
        <v>68861.6</v>
      </c>
      <c r="E16" s="58">
        <v>38588.74</v>
      </c>
      <c r="F16" s="9">
        <v>135</v>
      </c>
      <c r="G16" s="10">
        <v>1421.38</v>
      </c>
      <c r="H16" s="10">
        <v>225</v>
      </c>
      <c r="I16" s="10">
        <v>90</v>
      </c>
      <c r="J16" s="10">
        <f>15221.3+215</f>
        <v>15436.3</v>
      </c>
      <c r="K16" s="10">
        <v>68</v>
      </c>
      <c r="L16" s="10">
        <v>400</v>
      </c>
      <c r="M16" s="10">
        <v>135</v>
      </c>
      <c r="N16" s="10">
        <v>90</v>
      </c>
      <c r="O16" s="10">
        <f>8233.75+920</f>
        <v>9153.75</v>
      </c>
      <c r="P16" s="10">
        <v>419.1</v>
      </c>
      <c r="Q16" s="17">
        <v>400</v>
      </c>
      <c r="R16" s="44">
        <f t="shared" si="1"/>
        <v>27973.53</v>
      </c>
      <c r="S16" s="65">
        <f t="shared" si="2"/>
        <v>183072.1</v>
      </c>
    </row>
    <row r="17" spans="1:19" ht="12" customHeight="1" thickBot="1">
      <c r="A17" s="34" t="s">
        <v>34</v>
      </c>
      <c r="B17" s="29" t="s">
        <v>42</v>
      </c>
      <c r="C17" s="70">
        <v>0</v>
      </c>
      <c r="D17" s="70">
        <v>1986</v>
      </c>
      <c r="E17" s="58">
        <v>1328.09</v>
      </c>
      <c r="F17" s="9">
        <v>14</v>
      </c>
      <c r="G17" s="10">
        <v>78</v>
      </c>
      <c r="H17" s="10"/>
      <c r="I17" s="10"/>
      <c r="J17" s="10"/>
      <c r="K17" s="10"/>
      <c r="L17" s="10"/>
      <c r="M17" s="10"/>
      <c r="N17" s="10"/>
      <c r="O17" s="10"/>
      <c r="P17" s="10"/>
      <c r="Q17" s="17"/>
      <c r="R17" s="44">
        <f t="shared" si="1"/>
        <v>92</v>
      </c>
      <c r="S17" s="65">
        <f t="shared" si="2"/>
        <v>3406.09</v>
      </c>
    </row>
    <row r="18" spans="1:19" ht="15" customHeight="1" thickBot="1">
      <c r="A18" s="34" t="s">
        <v>63</v>
      </c>
      <c r="B18" s="29" t="s">
        <v>64</v>
      </c>
      <c r="C18" s="70"/>
      <c r="D18" s="70">
        <v>861.14</v>
      </c>
      <c r="E18" s="58">
        <v>1521.25</v>
      </c>
      <c r="F18" s="9"/>
      <c r="G18" s="10"/>
      <c r="H18" s="10">
        <v>295.22</v>
      </c>
      <c r="I18" s="10"/>
      <c r="J18" s="10"/>
      <c r="K18" s="10">
        <v>259.3</v>
      </c>
      <c r="L18" s="10"/>
      <c r="M18" s="10"/>
      <c r="N18" s="10">
        <v>346.57</v>
      </c>
      <c r="O18" s="10"/>
      <c r="P18" s="10"/>
      <c r="Q18" s="17">
        <v>308.04</v>
      </c>
      <c r="R18" s="44">
        <f t="shared" si="1"/>
        <v>1209.1299999999999</v>
      </c>
      <c r="S18" s="65">
        <f t="shared" si="2"/>
        <v>3591.52</v>
      </c>
    </row>
    <row r="19" spans="1:19" ht="14.25" customHeight="1" thickBot="1">
      <c r="A19" s="34" t="s">
        <v>69</v>
      </c>
      <c r="B19" s="29" t="s">
        <v>70</v>
      </c>
      <c r="C19" s="70"/>
      <c r="D19" s="70"/>
      <c r="E19" s="58">
        <v>49130.43</v>
      </c>
      <c r="F19" s="9">
        <v>3784.73</v>
      </c>
      <c r="G19" s="9">
        <v>3784.7</v>
      </c>
      <c r="H19" s="9">
        <v>3784.7</v>
      </c>
      <c r="I19" s="9">
        <v>3784.7</v>
      </c>
      <c r="J19" s="9">
        <v>3784.7</v>
      </c>
      <c r="K19" s="9">
        <v>3784.7</v>
      </c>
      <c r="L19" s="10">
        <v>3972.3</v>
      </c>
      <c r="M19" s="10"/>
      <c r="N19" s="10"/>
      <c r="O19" s="10"/>
      <c r="P19" s="10"/>
      <c r="Q19" s="17"/>
      <c r="R19" s="44">
        <f t="shared" si="1"/>
        <v>26680.530000000002</v>
      </c>
      <c r="S19" s="65">
        <f t="shared" si="2"/>
        <v>75810.95999999999</v>
      </c>
    </row>
    <row r="20" spans="1:19" ht="12" customHeight="1" thickBot="1">
      <c r="A20" s="34"/>
      <c r="B20" s="29" t="s">
        <v>72</v>
      </c>
      <c r="C20" s="70"/>
      <c r="D20" s="70"/>
      <c r="E20" s="58">
        <v>1931.64</v>
      </c>
      <c r="F20" s="9">
        <v>165.78</v>
      </c>
      <c r="G20" s="9">
        <v>165.78</v>
      </c>
      <c r="H20" s="9">
        <v>165.78</v>
      </c>
      <c r="I20" s="9">
        <v>165.78</v>
      </c>
      <c r="J20" s="9">
        <v>165.78</v>
      </c>
      <c r="K20" s="9">
        <v>165.78</v>
      </c>
      <c r="L20" s="10">
        <v>166.8</v>
      </c>
      <c r="M20" s="10">
        <v>166.8</v>
      </c>
      <c r="N20" s="10">
        <v>166.8</v>
      </c>
      <c r="O20" s="10">
        <v>166.8</v>
      </c>
      <c r="P20" s="10">
        <v>166.8</v>
      </c>
      <c r="Q20" s="10">
        <v>166.8</v>
      </c>
      <c r="R20" s="44">
        <f t="shared" si="1"/>
        <v>1995.4799999999998</v>
      </c>
      <c r="S20" s="65">
        <f t="shared" si="2"/>
        <v>3927.120000000002</v>
      </c>
    </row>
    <row r="21" spans="1:19" ht="12.75" customHeight="1" thickBot="1">
      <c r="A21" s="34"/>
      <c r="B21" s="29" t="s">
        <v>71</v>
      </c>
      <c r="C21" s="70"/>
      <c r="D21" s="70"/>
      <c r="E21" s="58">
        <v>10146.82</v>
      </c>
      <c r="F21" s="9">
        <v>727.95</v>
      </c>
      <c r="G21" s="9">
        <v>727.88</v>
      </c>
      <c r="H21" s="9">
        <v>727.88</v>
      </c>
      <c r="I21" s="9">
        <v>727.88</v>
      </c>
      <c r="J21" s="9">
        <v>727.88</v>
      </c>
      <c r="K21" s="9">
        <v>727.88</v>
      </c>
      <c r="L21" s="10">
        <v>745.81</v>
      </c>
      <c r="M21" s="10">
        <v>745.81</v>
      </c>
      <c r="N21" s="10">
        <v>745.81</v>
      </c>
      <c r="O21" s="10">
        <v>745.81</v>
      </c>
      <c r="P21" s="10">
        <v>745.81</v>
      </c>
      <c r="Q21" s="10">
        <v>745.81</v>
      </c>
      <c r="R21" s="44">
        <f>SUM(F21:Q21)</f>
        <v>8842.209999999997</v>
      </c>
      <c r="S21" s="65">
        <f>SUM(C21:Q21)</f>
        <v>18989.03</v>
      </c>
    </row>
    <row r="22" spans="1:19" ht="12.75" customHeight="1" thickBot="1">
      <c r="A22" s="34"/>
      <c r="B22" s="29" t="s">
        <v>73</v>
      </c>
      <c r="C22" s="70"/>
      <c r="D22" s="70"/>
      <c r="E22" s="58">
        <v>1682.23</v>
      </c>
      <c r="F22" s="9">
        <v>241.13</v>
      </c>
      <c r="G22" s="9">
        <v>241.13</v>
      </c>
      <c r="H22" s="9">
        <v>241.13</v>
      </c>
      <c r="I22" s="9">
        <v>241.13</v>
      </c>
      <c r="J22" s="9">
        <v>241.13</v>
      </c>
      <c r="K22" s="9">
        <v>241.13</v>
      </c>
      <c r="L22" s="10">
        <v>243.2</v>
      </c>
      <c r="M22" s="10">
        <v>243.2</v>
      </c>
      <c r="N22" s="10">
        <v>243.2</v>
      </c>
      <c r="O22" s="10">
        <v>243.2</v>
      </c>
      <c r="P22" s="10">
        <v>243.2</v>
      </c>
      <c r="Q22" s="10">
        <v>243.2</v>
      </c>
      <c r="R22" s="44">
        <f>SUM(F22:Q22)</f>
        <v>2905.9799999999996</v>
      </c>
      <c r="S22" s="65">
        <f>SUM(C22:Q22)</f>
        <v>4588.21</v>
      </c>
    </row>
    <row r="23" spans="1:19" ht="26.25" customHeight="1" thickBot="1">
      <c r="A23" s="34" t="s">
        <v>35</v>
      </c>
      <c r="B23" s="29" t="s">
        <v>74</v>
      </c>
      <c r="C23" s="70">
        <v>14351.59</v>
      </c>
      <c r="D23" s="70">
        <v>22163.69</v>
      </c>
      <c r="E23" s="58">
        <v>22467.33</v>
      </c>
      <c r="F23" s="9">
        <v>1918</v>
      </c>
      <c r="G23" s="10">
        <v>1800.86</v>
      </c>
      <c r="H23" s="10">
        <v>2401.67</v>
      </c>
      <c r="I23" s="10">
        <v>1872.8</v>
      </c>
      <c r="J23" s="10">
        <v>1575.18</v>
      </c>
      <c r="K23" s="10">
        <v>2283.03</v>
      </c>
      <c r="L23" s="10">
        <v>1856.36</v>
      </c>
      <c r="M23" s="10">
        <v>1898.41</v>
      </c>
      <c r="N23" s="10">
        <v>1560.24</v>
      </c>
      <c r="O23" s="10">
        <v>2342.09</v>
      </c>
      <c r="P23" s="10">
        <v>2070.63</v>
      </c>
      <c r="Q23" s="17">
        <v>2022.01</v>
      </c>
      <c r="R23" s="44">
        <f t="shared" si="1"/>
        <v>23601.280000000002</v>
      </c>
      <c r="S23" s="65">
        <f t="shared" si="2"/>
        <v>82583.89</v>
      </c>
    </row>
    <row r="24" spans="1:19" ht="21.75" customHeight="1" thickBot="1">
      <c r="A24" s="34" t="s">
        <v>45</v>
      </c>
      <c r="B24" s="29" t="s">
        <v>57</v>
      </c>
      <c r="C24" s="70">
        <v>2485.86</v>
      </c>
      <c r="D24" s="70">
        <v>3152.98</v>
      </c>
      <c r="E24" s="58">
        <v>2458.2</v>
      </c>
      <c r="F24" s="9">
        <v>189.57</v>
      </c>
      <c r="G24" s="10">
        <v>130.26</v>
      </c>
      <c r="H24" s="10">
        <v>92.49</v>
      </c>
      <c r="I24" s="10">
        <v>129.97</v>
      </c>
      <c r="J24" s="10">
        <v>120.68</v>
      </c>
      <c r="K24" s="10">
        <v>143.91</v>
      </c>
      <c r="L24" s="10">
        <v>439.92</v>
      </c>
      <c r="M24" s="10">
        <v>112.64</v>
      </c>
      <c r="N24" s="10">
        <v>139.46</v>
      </c>
      <c r="O24" s="10">
        <v>120.77</v>
      </c>
      <c r="P24" s="10">
        <v>577.49</v>
      </c>
      <c r="Q24" s="17">
        <v>183.68</v>
      </c>
      <c r="R24" s="44">
        <f t="shared" si="1"/>
        <v>2380.8399999999997</v>
      </c>
      <c r="S24" s="65">
        <f t="shared" si="2"/>
        <v>10477.88</v>
      </c>
    </row>
    <row r="25" spans="1:19" ht="36" customHeight="1" thickBot="1">
      <c r="A25" s="34" t="s">
        <v>46</v>
      </c>
      <c r="B25" s="29" t="s">
        <v>59</v>
      </c>
      <c r="C25" s="70">
        <v>17484.09</v>
      </c>
      <c r="D25" s="70">
        <v>23062.92</v>
      </c>
      <c r="E25" s="58">
        <v>24342.19</v>
      </c>
      <c r="F25" s="9">
        <f>94.87+678.54+1048.26</f>
        <v>1821.67</v>
      </c>
      <c r="G25" s="10">
        <f>1018.6+106.42+939.52</f>
        <v>2064.54</v>
      </c>
      <c r="H25" s="10">
        <f>1031.71+105.49+1019.61</f>
        <v>2156.81</v>
      </c>
      <c r="I25" s="10">
        <f>1086.8+106.91+794.3</f>
        <v>1988.01</v>
      </c>
      <c r="J25" s="10">
        <f>1317.69+96.05+619.87</f>
        <v>2033.6100000000001</v>
      </c>
      <c r="K25" s="10">
        <f>1058.25+90.09+591.48</f>
        <v>1739.82</v>
      </c>
      <c r="L25" s="10">
        <f>101.34+687.05+1334.94</f>
        <v>2123.33</v>
      </c>
      <c r="M25" s="10">
        <f>107.6+1044.11+1034.88</f>
        <v>2186.59</v>
      </c>
      <c r="N25" s="10">
        <f>84.65+807.5+1205.73</f>
        <v>2097.88</v>
      </c>
      <c r="O25" s="10">
        <f>113.01+1453.13+1175.35</f>
        <v>2741.49</v>
      </c>
      <c r="P25" s="10">
        <f>92.6+810.55+1683.8</f>
        <v>2586.95</v>
      </c>
      <c r="Q25" s="17">
        <f>1528.93+107.09+1371.76</f>
        <v>3007.7799999999997</v>
      </c>
      <c r="R25" s="44">
        <f t="shared" si="1"/>
        <v>26548.48</v>
      </c>
      <c r="S25" s="65">
        <f t="shared" si="2"/>
        <v>91437.68</v>
      </c>
    </row>
    <row r="26" spans="1:19" ht="15.75" customHeight="1" thickBot="1">
      <c r="A26" s="34" t="s">
        <v>48</v>
      </c>
      <c r="B26" s="29" t="s">
        <v>9</v>
      </c>
      <c r="C26" s="70">
        <v>173936.83</v>
      </c>
      <c r="D26" s="70">
        <v>262146.57</v>
      </c>
      <c r="E26" s="58">
        <v>263387.14</v>
      </c>
      <c r="F26" s="9">
        <f>51283.82-27062.44</f>
        <v>24221.38</v>
      </c>
      <c r="G26" s="10">
        <f>52899.12-27951.12</f>
        <v>24948.000000000004</v>
      </c>
      <c r="H26" s="10">
        <f>49674.11-27029.5</f>
        <v>22644.61</v>
      </c>
      <c r="I26" s="10">
        <f>71878.47-48610.71</f>
        <v>23267.760000000002</v>
      </c>
      <c r="J26" s="10">
        <f>76741.58-50304.11</f>
        <v>26437.47</v>
      </c>
      <c r="K26" s="10">
        <f>52168.24-29684.78</f>
        <v>22483.46</v>
      </c>
      <c r="L26" s="10">
        <f>51971.81-28317.48</f>
        <v>23654.329999999998</v>
      </c>
      <c r="M26" s="10">
        <f>46109.4-23340.49</f>
        <v>22768.91</v>
      </c>
      <c r="N26" s="10">
        <f>43613.08-22406.65</f>
        <v>21206.43</v>
      </c>
      <c r="O26" s="10">
        <f>58205.45-34544.94</f>
        <v>23660.509999999995</v>
      </c>
      <c r="P26" s="10">
        <f>48576.7-25132.88</f>
        <v>23443.819999999996</v>
      </c>
      <c r="Q26" s="17">
        <f>56222.01-31452.02-0.05</f>
        <v>24769.940000000002</v>
      </c>
      <c r="R26" s="44">
        <f t="shared" si="1"/>
        <v>283506.62</v>
      </c>
      <c r="S26" s="65">
        <f t="shared" si="2"/>
        <v>982977.1599999999</v>
      </c>
    </row>
    <row r="27" spans="1:19" ht="13.5" customHeight="1" thickBot="1">
      <c r="A27" s="34" t="s">
        <v>50</v>
      </c>
      <c r="B27" s="30" t="s">
        <v>3</v>
      </c>
      <c r="C27" s="71">
        <v>55130.12</v>
      </c>
      <c r="D27" s="71">
        <v>100341.99</v>
      </c>
      <c r="E27" s="59">
        <v>110426.21</v>
      </c>
      <c r="F27" s="11">
        <f>7738.93+187.15+1931.2</f>
        <v>9857.28</v>
      </c>
      <c r="G27" s="12">
        <f>7312.3+175.67+1811.2</f>
        <v>9299.17</v>
      </c>
      <c r="H27" s="12">
        <f>4.3+6731.3+164.01+1690.47</f>
        <v>8590.08</v>
      </c>
      <c r="I27" s="12">
        <f>7663+190.86+1968.37</f>
        <v>9822.23</v>
      </c>
      <c r="J27" s="12">
        <f>7080.2+169.59+1749</f>
        <v>8998.79</v>
      </c>
      <c r="K27" s="12">
        <f>7975.2+192.45+1982.94</f>
        <v>10150.59</v>
      </c>
      <c r="L27" s="12">
        <f>7545.6+184.78+1902.59</f>
        <v>9632.97</v>
      </c>
      <c r="M27" s="12">
        <f>7074.2+170.21+1718.92</f>
        <v>8963.33</v>
      </c>
      <c r="N27" s="12">
        <f>6545.2+47.53+1721.79</f>
        <v>8314.52</v>
      </c>
      <c r="O27" s="12">
        <f>38.7+8274.4+50.91+2066.72</f>
        <v>10430.73</v>
      </c>
      <c r="P27" s="12">
        <f>7713.7+45.35+1893.04</f>
        <v>9652.09</v>
      </c>
      <c r="Q27" s="18">
        <f>10450+75.51+2175.3</f>
        <v>12700.810000000001</v>
      </c>
      <c r="R27" s="44">
        <f t="shared" si="1"/>
        <v>116412.59</v>
      </c>
      <c r="S27" s="65">
        <f t="shared" si="2"/>
        <v>382310.91000000003</v>
      </c>
    </row>
    <row r="28" spans="1:19" ht="13.5" customHeight="1" thickBot="1">
      <c r="A28" s="34"/>
      <c r="B28" s="36" t="s">
        <v>51</v>
      </c>
      <c r="C28" s="72">
        <f>C8*5%</f>
        <v>18943.639000000003</v>
      </c>
      <c r="D28" s="80">
        <f>D8*5%</f>
        <v>32090.627000000004</v>
      </c>
      <c r="E28" s="61">
        <f>E8*5%</f>
        <v>30081.243000000002</v>
      </c>
      <c r="F28" s="50">
        <f>F8*5%</f>
        <v>2506.339</v>
      </c>
      <c r="G28" s="50">
        <f aca="true" t="shared" si="3" ref="G28:Q28">G8*5%</f>
        <v>2506.339</v>
      </c>
      <c r="H28" s="50">
        <f t="shared" si="3"/>
        <v>2506.339</v>
      </c>
      <c r="I28" s="50">
        <f t="shared" si="3"/>
        <v>2506.339</v>
      </c>
      <c r="J28" s="50">
        <f t="shared" si="3"/>
        <v>2506.339</v>
      </c>
      <c r="K28" s="50">
        <f t="shared" si="3"/>
        <v>2506.339</v>
      </c>
      <c r="L28" s="50">
        <f t="shared" si="3"/>
        <v>2505.3615000000004</v>
      </c>
      <c r="M28" s="50">
        <f t="shared" si="3"/>
        <v>2505.3615000000004</v>
      </c>
      <c r="N28" s="50">
        <f t="shared" si="3"/>
        <v>2505.3615000000004</v>
      </c>
      <c r="O28" s="50">
        <f t="shared" si="3"/>
        <v>2505.3615000000004</v>
      </c>
      <c r="P28" s="50">
        <f t="shared" si="3"/>
        <v>2505.3615000000004</v>
      </c>
      <c r="Q28" s="50">
        <f t="shared" si="3"/>
        <v>2505.3615000000004</v>
      </c>
      <c r="R28" s="61">
        <f t="shared" si="1"/>
        <v>30070.202999999994</v>
      </c>
      <c r="S28" s="66"/>
    </row>
    <row r="29" spans="1:19" ht="15" customHeight="1" thickBot="1">
      <c r="A29" s="52" t="s">
        <v>49</v>
      </c>
      <c r="B29" s="47" t="s">
        <v>44</v>
      </c>
      <c r="C29" s="73"/>
      <c r="D29" s="73"/>
      <c r="E29" s="82">
        <f aca="true" t="shared" si="4" ref="E29:Q29">SUM(E8+E9+E10-E11)-E28</f>
        <v>60539.356999999975</v>
      </c>
      <c r="F29" s="51">
        <f t="shared" si="4"/>
        <v>6779.021000000001</v>
      </c>
      <c r="G29" s="51">
        <f t="shared" si="4"/>
        <v>5163.691000000006</v>
      </c>
      <c r="H29" s="51">
        <f t="shared" si="4"/>
        <v>8388.701000000001</v>
      </c>
      <c r="I29" s="51">
        <f t="shared" si="4"/>
        <v>-13815.659</v>
      </c>
      <c r="J29" s="51">
        <f t="shared" si="4"/>
        <v>-18678.768999999986</v>
      </c>
      <c r="K29" s="51">
        <f t="shared" si="4"/>
        <v>5894.571000000011</v>
      </c>
      <c r="L29" s="51">
        <f t="shared" si="4"/>
        <v>6309.718500000001</v>
      </c>
      <c r="M29" s="51">
        <f t="shared" si="4"/>
        <v>8199.828500000001</v>
      </c>
      <c r="N29" s="51">
        <f t="shared" si="4"/>
        <v>10696.148500000001</v>
      </c>
      <c r="O29" s="51">
        <f t="shared" si="4"/>
        <v>-3896.2214999999937</v>
      </c>
      <c r="P29" s="51">
        <f t="shared" si="4"/>
        <v>5732.528500000006</v>
      </c>
      <c r="Q29" s="51">
        <f t="shared" si="4"/>
        <v>-1912.731500000003</v>
      </c>
      <c r="R29" s="62">
        <f t="shared" si="1"/>
        <v>18860.827000000045</v>
      </c>
      <c r="S29" s="48"/>
    </row>
    <row r="30" spans="1:19" ht="25.5" customHeight="1" thickBot="1">
      <c r="A30" s="55" t="s">
        <v>36</v>
      </c>
      <c r="B30" s="91" t="s">
        <v>23</v>
      </c>
      <c r="C30" s="92">
        <f>SUM(C8-C11)-C28</f>
        <v>-44121.848999999966</v>
      </c>
      <c r="D30" s="93">
        <f>SUM(D8-D11)-D28</f>
        <v>14329.093000000084</v>
      </c>
      <c r="E30" s="94">
        <f>SUM(E8+E9+E10-E11)-E28</f>
        <v>60539.356999999975</v>
      </c>
      <c r="F30" s="95">
        <f>SUM(F8+F9+F10-F11)-F28</f>
        <v>6779.021000000001</v>
      </c>
      <c r="G30" s="96">
        <f>SUM(G29+F30)</f>
        <v>11942.712000000007</v>
      </c>
      <c r="H30" s="96">
        <f aca="true" t="shared" si="5" ref="H30:Q30">SUM(H29+G30)</f>
        <v>20331.413000000008</v>
      </c>
      <c r="I30" s="96">
        <f t="shared" si="5"/>
        <v>6515.754000000008</v>
      </c>
      <c r="J30" s="96">
        <f t="shared" si="5"/>
        <v>-12163.014999999978</v>
      </c>
      <c r="K30" s="96">
        <f t="shared" si="5"/>
        <v>-6268.443999999967</v>
      </c>
      <c r="L30" s="96">
        <f t="shared" si="5"/>
        <v>41.274500000034095</v>
      </c>
      <c r="M30" s="96">
        <f t="shared" si="5"/>
        <v>8241.103000000036</v>
      </c>
      <c r="N30" s="96">
        <f t="shared" si="5"/>
        <v>18937.251500000035</v>
      </c>
      <c r="O30" s="96">
        <f t="shared" si="5"/>
        <v>15041.03000000004</v>
      </c>
      <c r="P30" s="96">
        <f t="shared" si="5"/>
        <v>20773.558500000046</v>
      </c>
      <c r="Q30" s="96">
        <f t="shared" si="5"/>
        <v>18860.827000000045</v>
      </c>
      <c r="R30" s="97"/>
      <c r="S30" s="86"/>
    </row>
    <row r="31" spans="1:19" ht="24.75" customHeight="1" hidden="1" thickBot="1">
      <c r="A31" s="53" t="s">
        <v>37</v>
      </c>
      <c r="B31" s="31" t="s">
        <v>24</v>
      </c>
      <c r="C31" s="74">
        <v>-44121.84</v>
      </c>
      <c r="D31" s="81">
        <f>SUM(D30+C31)</f>
        <v>-29792.746999999912</v>
      </c>
      <c r="E31" s="61">
        <f>SUM(E30+D31)</f>
        <v>30746.610000000062</v>
      </c>
      <c r="F31" s="81">
        <f>SUM(F30+E31)</f>
        <v>37525.63100000007</v>
      </c>
      <c r="G31" s="54">
        <f aca="true" t="shared" si="6" ref="G31:P31">SUM(G29+F31)</f>
        <v>42689.32200000007</v>
      </c>
      <c r="H31" s="54">
        <f t="shared" si="6"/>
        <v>51078.023000000074</v>
      </c>
      <c r="I31" s="54">
        <f t="shared" si="6"/>
        <v>37262.364000000074</v>
      </c>
      <c r="J31" s="54">
        <f t="shared" si="6"/>
        <v>18583.59500000009</v>
      </c>
      <c r="K31" s="54">
        <f t="shared" si="6"/>
        <v>24478.1660000001</v>
      </c>
      <c r="L31" s="54">
        <f t="shared" si="6"/>
        <v>30787.884500000102</v>
      </c>
      <c r="M31" s="54">
        <f t="shared" si="6"/>
        <v>38987.713000000105</v>
      </c>
      <c r="N31" s="54">
        <f t="shared" si="6"/>
        <v>49683.86150000011</v>
      </c>
      <c r="O31" s="54">
        <f t="shared" si="6"/>
        <v>45787.640000000116</v>
      </c>
      <c r="P31" s="54">
        <f t="shared" si="6"/>
        <v>51520.16850000012</v>
      </c>
      <c r="Q31" s="54">
        <f>SUM(Q29+P31)</f>
        <v>49607.43700000012</v>
      </c>
      <c r="R31" s="45"/>
      <c r="S31" s="49"/>
    </row>
    <row r="32" spans="1:19" ht="17.25" customHeight="1" hidden="1" thickBot="1">
      <c r="A32" s="34" t="s">
        <v>38</v>
      </c>
      <c r="B32" s="37" t="s">
        <v>7</v>
      </c>
      <c r="C32" s="56"/>
      <c r="D32" s="56"/>
      <c r="E32" s="56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9"/>
      <c r="R32" s="44"/>
      <c r="S32" s="40"/>
    </row>
    <row r="33" spans="1:19" ht="16.5" customHeight="1" hidden="1" thickBot="1">
      <c r="A33" s="35" t="s">
        <v>39</v>
      </c>
      <c r="B33" s="31" t="s">
        <v>25</v>
      </c>
      <c r="C33" s="56"/>
      <c r="D33" s="56"/>
      <c r="E33" s="56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9"/>
      <c r="R33" s="45"/>
      <c r="S33" s="41"/>
    </row>
    <row r="34" spans="1:19" ht="11.25" customHeight="1" hidden="1" thickBot="1">
      <c r="A34" s="35" t="s">
        <v>40</v>
      </c>
      <c r="B34" s="32" t="s">
        <v>41</v>
      </c>
      <c r="C34" s="57"/>
      <c r="D34" s="57"/>
      <c r="E34" s="57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46"/>
      <c r="S34" s="42"/>
    </row>
    <row r="35" spans="1:19" ht="15" customHeight="1" hidden="1" thickBot="1">
      <c r="A35" s="38" t="s">
        <v>43</v>
      </c>
      <c r="B35" s="32" t="s">
        <v>26</v>
      </c>
      <c r="C35" s="57"/>
      <c r="D35" s="57"/>
      <c r="E35" s="5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46"/>
      <c r="S35" s="42"/>
    </row>
    <row r="36" spans="2:19" ht="14.25" customHeight="1">
      <c r="B36" t="s">
        <v>58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</row>
    <row r="38" ht="6" customHeight="1" hidden="1"/>
    <row r="39" ht="12.75" hidden="1"/>
    <row r="40" ht="12.75" hidden="1"/>
    <row r="45" ht="12.75" customHeight="1"/>
    <row r="46" ht="12.75" customHeight="1"/>
  </sheetData>
  <sheetProtection/>
  <mergeCells count="5">
    <mergeCell ref="B4:S4"/>
    <mergeCell ref="B5:S5"/>
    <mergeCell ref="B3:S3"/>
    <mergeCell ref="B1:H1"/>
    <mergeCell ref="B2:Q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2019-02-11T13:18:53Z</cp:lastPrinted>
  <dcterms:created xsi:type="dcterms:W3CDTF">2011-06-16T11:06:26Z</dcterms:created>
  <dcterms:modified xsi:type="dcterms:W3CDTF">2019-02-13T05:18:11Z</dcterms:modified>
  <cp:category/>
  <cp:version/>
  <cp:contentType/>
  <cp:contentStatus/>
</cp:coreProperties>
</file>