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<sst xmlns="http://schemas.openxmlformats.org/spreadsheetml/2006/main" count="77" uniqueCount="77">
  <si>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</si>
  <si>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</si>
  <si>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</si>
  <si>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</si>
  <si>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</si>
  <si>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</si>
  <si>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</si>
  <si>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</si>
  <si>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</si>
  <si>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</si>
  <si>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</si>
  <si>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</si>
  <si>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</si>
  <si>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</si>
  <si>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</si>
  <si>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</si>
  <si>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</si>
  <si>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</si>
  <si>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</si>
  <si>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</si>
  <si>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</si>
  <si>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</si>
  <si>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</si>
  <si>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</si>
  <si>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</si>
  <si>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</si>
  <si>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</si>
  <si>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</si>
  <si>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</si>
  <si>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</si>
  <si>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</si>
  <si>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</si>
  <si>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</si>
  <si>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</si>
  <si>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</si>
  <si>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</si>
  <si>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</si>
  <si>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</si>
  <si>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</si>
  <si>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</si>
  <si>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</si>
  <si>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</si>
  <si>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</si>
  <si>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</si>
  <si>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</si>
  <si>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</si>
  <si>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</si>
  <si>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</si>
  <si>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</si>
  <si>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Нахимова д.2</t>
  </si>
  <si>
    <t>Итого за 2011 г</t>
  </si>
  <si>
    <t>Проверка дымовых каналов</t>
  </si>
  <si>
    <t>11</t>
  </si>
  <si>
    <t>Результат за месяц</t>
  </si>
  <si>
    <t>Дом по ул.Нахимова д.2 вступил в ООО "Наш дом" с октября 2009 года                              тариф 9,2 руб</t>
  </si>
  <si>
    <t>Итого за 2012 г</t>
  </si>
  <si>
    <t>Благоустройство территории</t>
  </si>
  <si>
    <t>4.12</t>
  </si>
  <si>
    <t>4.13</t>
  </si>
  <si>
    <t>4.14</t>
  </si>
  <si>
    <t xml:space="preserve">Материалы </t>
  </si>
  <si>
    <t>4.15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</si>
  <si>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</si>
  <si>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</si>
  <si>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</si>
  <si>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</si>
  <si>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</si>
  <si>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</si>
  <si>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</si>
  <si>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</si>
  <si>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</si>
  <si>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</si>
  <si>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Итого за 2017 г</t>
  </si>
  <si>
    <t>Начислено  СОИД</t>
  </si>
  <si>
    <t>Электроэнергия СОИД</t>
  </si>
  <si>
    <t>Итого за 2018 г</t>
  </si>
  <si>
    <t>Всего за 2009-2018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</si>
</sst>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42" xfId="0" applyFont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5" fillId="0" borderId="44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45" xfId="0" applyFont="1" applyBorder="1" applyAlignment="1">
      <alignment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9" xfId="0" applyNumberFormat="1" applyFont="1" applyBorder="1" applyAlignment="1">
      <alignment horizontal="right" wrapText="1"/>
    </xf>
    <xf numFmtId="0" fontId="21" fillId="0" borderId="27" xfId="0" applyFont="1" applyBorder="1" applyAlignment="1">
      <alignment/>
    </xf>
    <xf numFmtId="0" fontId="26" fillId="0" borderId="38" xfId="0" applyFont="1" applyBorder="1" applyAlignment="1">
      <alignment wrapText="1"/>
    </xf>
    <xf numFmtId="0" fontId="27" fillId="0" borderId="32" xfId="0" applyFont="1" applyBorder="1" applyAlignment="1">
      <alignment/>
    </xf>
    <xf numFmtId="2" fontId="27" fillId="0" borderId="27" xfId="0" applyNumberFormat="1" applyFont="1" applyBorder="1" applyAlignment="1">
      <alignment/>
    </xf>
    <xf numFmtId="2" fontId="27" fillId="0" borderId="44" xfId="0" applyNumberFormat="1" applyFont="1" applyBorder="1" applyAlignment="1">
      <alignment/>
    </xf>
    <xf numFmtId="2" fontId="21" fillId="0" borderId="50" xfId="0" applyNumberFormat="1" applyFont="1" applyBorder="1" applyAlignment="1">
      <alignment/>
    </xf>
    <xf numFmtId="2" fontId="21" fillId="0" borderId="51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2" fontId="21" fillId="0" borderId="52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23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7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4" xfId="0" applyFont="1" applyBorder="1" applyAlignment="1">
      <alignment wrapText="1"/>
    </xf>
    <xf numFmtId="0" fontId="28" fillId="0" borderId="53" xfId="0" applyFont="1" applyBorder="1" applyAlignment="1">
      <alignment wrapText="1"/>
    </xf>
    <xf numFmtId="0" fontId="28" fillId="0" borderId="52" xfId="0" applyFont="1" applyBorder="1" applyAlignment="1">
      <alignment wrapText="1"/>
    </xf>
    <xf numFmtId="0" fontId="28" fillId="0" borderId="53" xfId="0" applyFont="1" applyBorder="1" applyAlignment="1">
      <alignment/>
    </xf>
    <xf numFmtId="0" fontId="28" fillId="0" borderId="52" xfId="0" applyFont="1" applyBorder="1" applyAlignment="1">
      <alignment/>
    </xf>
    <xf numFmtId="2" fontId="28" fillId="0" borderId="35" xfId="0" applyNumberFormat="1" applyFont="1" applyBorder="1" applyAlignment="1">
      <alignment/>
    </xf>
    <xf numFmtId="2" fontId="28" fillId="0" borderId="51" xfId="0" applyNumberFormat="1" applyFont="1" applyBorder="1" applyAlignment="1">
      <alignment/>
    </xf>
    <xf numFmtId="2" fontId="28" fillId="0" borderId="54" xfId="0" applyNumberFormat="1" applyFont="1" applyBorder="1" applyAlignment="1">
      <alignment/>
    </xf>
    <xf numFmtId="0" fontId="22" fillId="0" borderId="44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PageLayoutView="0" workbookViewId="0" topLeftCell="A4">
      <selection activeCell="U23" sqref="U23"/>
    </sheetView>
  </sheetViews>
  <sheetFormatPr defaultColWidth="9.00390625" defaultRowHeight="12.75"/>
  <cols>
    <col min="1" max="1" width="3.375" style="26" customWidth="1"/>
    <col min="2" max="2" width="21.125" style="0" customWidth="1"/>
    <col min="3" max="4" width="7.25390625" style="0" hidden="1" customWidth="1"/>
    <col min="5" max="5" width="8.00390625" style="0" hidden="1" customWidth="1"/>
    <col min="6" max="7" width="9.375" style="0" hidden="1" customWidth="1"/>
    <col min="8" max="8" width="9.25390625" style="0" hidden="1" customWidth="1"/>
    <col min="9" max="9" width="9.125" style="0" hidden="1" customWidth="1"/>
    <col min="10" max="10" width="9.00390625" style="0" hidden="1" customWidth="1"/>
    <col min="11" max="11" width="9.625" style="0" hidden="1" customWidth="1"/>
    <col min="12" max="12" width="8.75390625" style="0" customWidth="1"/>
    <col min="13" max="13" width="8.625" style="0" customWidth="1"/>
    <col min="14" max="14" width="9.125" style="0" customWidth="1"/>
    <col min="15" max="15" width="8.125" style="0" customWidth="1"/>
    <col min="16" max="16" width="8.25390625" style="0" customWidth="1"/>
    <col min="17" max="17" width="8.875" style="0" customWidth="1"/>
    <col min="18" max="19" width="8.75390625" style="0" customWidth="1"/>
    <col min="20" max="20" width="8.00390625" style="0" customWidth="1"/>
    <col min="21" max="21" width="8.875" style="0" customWidth="1"/>
    <col min="22" max="23" width="8.25390625" style="0" customWidth="1"/>
    <col min="24" max="24" width="8.625" style="0" customWidth="1"/>
    <col min="25" max="25" width="10.00390625" style="0" customWidth="1"/>
  </cols>
  <sheetData>
    <row r="1" spans="2:30" ht="12.75" customHeight="1">
      <c r="B1" s="107" t="s">
        <v>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07" t="s">
        <v>54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4"/>
      <c r="W2" s="4"/>
      <c r="X2" s="4"/>
      <c r="Y2" s="4"/>
      <c r="Z2" s="4"/>
      <c r="AA2" s="4"/>
      <c r="AB2" s="4"/>
      <c r="AC2" s="4"/>
      <c r="AD2" s="4"/>
    </row>
    <row r="3" spans="2:30" ht="12.75" customHeight="1">
      <c r="B3" s="106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3"/>
      <c r="AA3" s="3"/>
      <c r="AB3" s="3"/>
      <c r="AC3" s="3"/>
      <c r="AD3" s="3"/>
    </row>
    <row r="4" spans="2:30" ht="15" customHeight="1">
      <c r="B4" s="105" t="s">
        <v>11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2"/>
      <c r="AA4" s="2"/>
      <c r="AB4" s="2"/>
      <c r="AC4" s="2"/>
      <c r="AD4" s="2"/>
    </row>
    <row r="5" spans="2:30" ht="15" customHeight="1" thickBot="1">
      <c r="B5" s="105" t="s">
        <v>49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2"/>
      <c r="AA5" s="2"/>
      <c r="AB5" s="2"/>
      <c r="AC5" s="2"/>
      <c r="AD5" s="2"/>
    </row>
    <row r="6" spans="2:30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39.75" customHeight="1" thickBot="1">
      <c r="A7" s="35" t="s">
        <v>28</v>
      </c>
      <c r="B7" s="27" t="s">
        <v>7</v>
      </c>
      <c r="C7" s="38" t="s">
        <v>45</v>
      </c>
      <c r="D7" s="42" t="s">
        <v>46</v>
      </c>
      <c r="E7" s="57" t="s">
        <v>50</v>
      </c>
      <c r="F7" s="57" t="s">
        <v>55</v>
      </c>
      <c r="G7" s="57" t="s">
        <v>62</v>
      </c>
      <c r="H7" s="57" t="s">
        <v>63</v>
      </c>
      <c r="I7" s="57" t="s">
        <v>65</v>
      </c>
      <c r="J7" s="57" t="s">
        <v>71</v>
      </c>
      <c r="K7" s="57" t="s">
        <v>72</v>
      </c>
      <c r="L7" s="6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19</v>
      </c>
      <c r="T7" s="5" t="s">
        <v>20</v>
      </c>
      <c r="U7" s="5" t="s">
        <v>21</v>
      </c>
      <c r="V7" s="5" t="s">
        <v>23</v>
      </c>
      <c r="W7" s="15" t="s">
        <v>22</v>
      </c>
      <c r="X7" s="57" t="s">
        <v>75</v>
      </c>
      <c r="Y7" s="52" t="s">
        <v>76</v>
      </c>
      <c r="Z7" s="1"/>
      <c r="AA7" s="1"/>
      <c r="AB7" s="1"/>
      <c r="AC7" s="1"/>
      <c r="AD7" s="1"/>
    </row>
    <row r="8" spans="1:25" ht="13.5" thickBot="1">
      <c r="A8" s="36" t="s">
        <v>29</v>
      </c>
      <c r="B8" s="28" t="s">
        <v>1</v>
      </c>
      <c r="C8" s="67">
        <v>13797.24</v>
      </c>
      <c r="D8" s="68">
        <v>55188.96</v>
      </c>
      <c r="E8" s="69">
        <v>55188.96</v>
      </c>
      <c r="F8" s="68">
        <v>55290.16</v>
      </c>
      <c r="G8" s="68">
        <v>55310.4</v>
      </c>
      <c r="H8" s="78">
        <v>55310.4</v>
      </c>
      <c r="I8" s="68">
        <v>55310.4</v>
      </c>
      <c r="J8" s="68">
        <v>55310.4</v>
      </c>
      <c r="K8" s="68">
        <v>55387.68</v>
      </c>
      <c r="L8" s="7">
        <v>4615.64</v>
      </c>
      <c r="M8" s="7">
        <v>4615.64</v>
      </c>
      <c r="N8" s="7">
        <v>4615.64</v>
      </c>
      <c r="O8" s="7">
        <v>4615.64</v>
      </c>
      <c r="P8" s="7">
        <v>4615.64</v>
      </c>
      <c r="Q8" s="7">
        <v>4615.64</v>
      </c>
      <c r="R8" s="8">
        <v>4615.64</v>
      </c>
      <c r="S8" s="8">
        <v>4615.64</v>
      </c>
      <c r="T8" s="8">
        <v>4615.64</v>
      </c>
      <c r="U8" s="8">
        <v>4615.64</v>
      </c>
      <c r="V8" s="8">
        <v>4615.64</v>
      </c>
      <c r="W8" s="8">
        <v>4615.64</v>
      </c>
      <c r="X8" s="61">
        <f>SUM(L8:W8)</f>
        <v>55387.68</v>
      </c>
      <c r="Y8" s="79">
        <f>SUM(C8:W8)</f>
        <v>511482.2800000002</v>
      </c>
    </row>
    <row r="9" spans="1:25" ht="13.5" thickBot="1">
      <c r="A9" s="36"/>
      <c r="B9" s="28" t="s">
        <v>73</v>
      </c>
      <c r="C9" s="67"/>
      <c r="D9" s="78"/>
      <c r="E9" s="69"/>
      <c r="F9" s="78"/>
      <c r="G9" s="78"/>
      <c r="H9" s="78"/>
      <c r="I9" s="78"/>
      <c r="J9" s="78"/>
      <c r="K9" s="78">
        <v>7009.85</v>
      </c>
      <c r="L9" s="7">
        <f aca="true" t="shared" si="0" ref="L9:Q9">673.49+40.31+24.03</f>
        <v>737.8299999999999</v>
      </c>
      <c r="M9" s="7">
        <f t="shared" si="0"/>
        <v>737.8299999999999</v>
      </c>
      <c r="N9" s="7">
        <f t="shared" si="0"/>
        <v>737.8299999999999</v>
      </c>
      <c r="O9" s="7">
        <f t="shared" si="0"/>
        <v>737.8299999999999</v>
      </c>
      <c r="P9" s="7">
        <f t="shared" si="0"/>
        <v>737.8299999999999</v>
      </c>
      <c r="Q9" s="7">
        <f t="shared" si="0"/>
        <v>737.8299999999999</v>
      </c>
      <c r="R9" s="8">
        <f>706.86+40.93+24.67</f>
        <v>772.4599999999999</v>
      </c>
      <c r="S9" s="8">
        <f>40.93+24.67</f>
        <v>65.6</v>
      </c>
      <c r="T9" s="8">
        <f>40.93+24.67</f>
        <v>65.6</v>
      </c>
      <c r="U9" s="8">
        <f>40.93+24.67</f>
        <v>65.6</v>
      </c>
      <c r="V9" s="8">
        <f>40.93+24.67</f>
        <v>65.6</v>
      </c>
      <c r="W9" s="8">
        <f>40.93+24.67</f>
        <v>65.6</v>
      </c>
      <c r="X9" s="61">
        <f>SUM(L9:W9)</f>
        <v>5527.440000000001</v>
      </c>
      <c r="Y9" s="79">
        <f>SUM(C9:W9)</f>
        <v>12537.29</v>
      </c>
    </row>
    <row r="10" spans="1:25" s="95" customFormat="1" ht="13.5" thickBot="1">
      <c r="A10" s="89" t="s">
        <v>30</v>
      </c>
      <c r="B10" s="90" t="s">
        <v>2</v>
      </c>
      <c r="C10" s="91">
        <f aca="true" t="shared" si="1" ref="C10:L10">SUM(C11:C23)</f>
        <v>8389</v>
      </c>
      <c r="D10" s="92">
        <f t="shared" si="1"/>
        <v>45926.8</v>
      </c>
      <c r="E10" s="91">
        <f t="shared" si="1"/>
        <v>50482.79</v>
      </c>
      <c r="F10" s="92">
        <f t="shared" si="1"/>
        <v>46753.689999999995</v>
      </c>
      <c r="G10" s="92">
        <f t="shared" si="1"/>
        <v>71031.3</v>
      </c>
      <c r="H10" s="92">
        <f>SUM(H11:H23)</f>
        <v>50444.89</v>
      </c>
      <c r="I10" s="92">
        <f>SUM(I11:I23)</f>
        <v>56545.01</v>
      </c>
      <c r="J10" s="92">
        <f>SUM(J11:J23)</f>
        <v>51569.6</v>
      </c>
      <c r="K10" s="92">
        <f>SUM(K11:K23)</f>
        <v>58449.20000000001</v>
      </c>
      <c r="L10" s="93">
        <f t="shared" si="1"/>
        <v>4783.81</v>
      </c>
      <c r="M10" s="93">
        <f aca="true" t="shared" si="2" ref="M10:W10">SUM(M11:M23)</f>
        <v>10150.839999999998</v>
      </c>
      <c r="N10" s="93">
        <f t="shared" si="2"/>
        <v>5055.48</v>
      </c>
      <c r="O10" s="93">
        <f t="shared" si="2"/>
        <v>5107.82</v>
      </c>
      <c r="P10" s="93">
        <f t="shared" si="2"/>
        <v>7998.86</v>
      </c>
      <c r="Q10" s="93">
        <f t="shared" si="2"/>
        <v>5034.24</v>
      </c>
      <c r="R10" s="93">
        <f t="shared" si="2"/>
        <v>5350.41</v>
      </c>
      <c r="S10" s="93">
        <f t="shared" si="2"/>
        <v>4348.94</v>
      </c>
      <c r="T10" s="93">
        <f t="shared" si="2"/>
        <v>4074.14</v>
      </c>
      <c r="U10" s="93">
        <f t="shared" si="2"/>
        <v>4969.6</v>
      </c>
      <c r="V10" s="93">
        <f t="shared" si="2"/>
        <v>4493.540000000001</v>
      </c>
      <c r="W10" s="91">
        <f t="shared" si="2"/>
        <v>4449.2</v>
      </c>
      <c r="X10" s="92">
        <f>SUM(L10:W10)</f>
        <v>65816.87999999999</v>
      </c>
      <c r="Y10" s="94">
        <f>SUM(C10:W10)</f>
        <v>505409.16</v>
      </c>
    </row>
    <row r="11" spans="1:25" ht="13.5" thickBot="1">
      <c r="A11" s="36" t="s">
        <v>31</v>
      </c>
      <c r="B11" s="30" t="s">
        <v>4</v>
      </c>
      <c r="C11" s="46">
        <v>2181</v>
      </c>
      <c r="D11" s="47">
        <v>9243.74</v>
      </c>
      <c r="E11" s="70">
        <v>9533.82</v>
      </c>
      <c r="F11" s="47">
        <v>9783.92</v>
      </c>
      <c r="G11" s="47">
        <v>12815.39</v>
      </c>
      <c r="H11" s="47">
        <v>12995.51</v>
      </c>
      <c r="I11" s="47">
        <v>11195.35</v>
      </c>
      <c r="J11" s="47">
        <v>12326.29</v>
      </c>
      <c r="K11" s="47">
        <v>13141.31</v>
      </c>
      <c r="L11" s="7">
        <f>1007+39.98</f>
        <v>1046.98</v>
      </c>
      <c r="M11" s="8">
        <f>1007+43.86</f>
        <v>1050.86</v>
      </c>
      <c r="N11" s="8">
        <f>1007+31.14</f>
        <v>1038.14</v>
      </c>
      <c r="O11" s="8">
        <f>1007+87.74</f>
        <v>1094.74</v>
      </c>
      <c r="P11" s="8">
        <f>1007+81.98</f>
        <v>1088.98</v>
      </c>
      <c r="Q11" s="8">
        <f>1007+84.2</f>
        <v>1091.2</v>
      </c>
      <c r="R11" s="8">
        <f>1007+71.85</f>
        <v>1078.85</v>
      </c>
      <c r="S11" s="8">
        <f>954+86.51</f>
        <v>1040.51</v>
      </c>
      <c r="T11" s="8">
        <f>954+64.31</f>
        <v>1018.31</v>
      </c>
      <c r="U11" s="8">
        <f>954+52.18</f>
        <v>1006.18</v>
      </c>
      <c r="V11" s="8">
        <f>954+60.57</f>
        <v>1014.57</v>
      </c>
      <c r="W11" s="16">
        <f>954+55.68</f>
        <v>1009.68</v>
      </c>
      <c r="X11" s="58">
        <f aca="true" t="shared" si="3" ref="X11:X25">SUM(L11:W11)</f>
        <v>12579</v>
      </c>
      <c r="Y11" s="80">
        <f aca="true" t="shared" si="4" ref="Y11:Y23">SUM(C11:W11)</f>
        <v>105795.32999999997</v>
      </c>
    </row>
    <row r="12" spans="1:25" ht="14.25" customHeight="1" thickBot="1">
      <c r="A12" s="36" t="s">
        <v>32</v>
      </c>
      <c r="B12" s="31" t="s">
        <v>66</v>
      </c>
      <c r="C12" s="48">
        <v>5007.23</v>
      </c>
      <c r="D12" s="49">
        <v>13701.44</v>
      </c>
      <c r="E12" s="71">
        <v>5032.32</v>
      </c>
      <c r="F12" s="49">
        <f>143.76+1100</f>
        <v>1243.76</v>
      </c>
      <c r="G12" s="49">
        <v>12698.89</v>
      </c>
      <c r="H12" s="49">
        <f>235.3+1975</f>
        <v>2210.3</v>
      </c>
      <c r="I12" s="49">
        <v>2406.23</v>
      </c>
      <c r="J12" s="49">
        <v>33.79</v>
      </c>
      <c r="K12" s="49">
        <v>400</v>
      </c>
      <c r="L12" s="9"/>
      <c r="M12" s="10"/>
      <c r="N12" s="10"/>
      <c r="O12" s="10"/>
      <c r="P12" s="10">
        <v>3000</v>
      </c>
      <c r="Q12" s="10"/>
      <c r="R12" s="10"/>
      <c r="S12" s="10"/>
      <c r="T12" s="10"/>
      <c r="U12" s="10">
        <v>1200</v>
      </c>
      <c r="V12" s="10"/>
      <c r="W12" s="17"/>
      <c r="X12" s="58">
        <f t="shared" si="3"/>
        <v>4200</v>
      </c>
      <c r="Y12" s="80">
        <f t="shared" si="4"/>
        <v>46933.96000000001</v>
      </c>
    </row>
    <row r="13" spans="1:25" ht="15.75" customHeight="1" thickBot="1">
      <c r="A13" s="36" t="s">
        <v>33</v>
      </c>
      <c r="B13" s="29" t="s">
        <v>5</v>
      </c>
      <c r="C13" s="48">
        <v>0</v>
      </c>
      <c r="D13" s="49">
        <v>0</v>
      </c>
      <c r="E13" s="71">
        <v>1959.51</v>
      </c>
      <c r="F13" s="49">
        <v>0</v>
      </c>
      <c r="G13" s="49">
        <v>0</v>
      </c>
      <c r="H13" s="49"/>
      <c r="I13" s="49">
        <v>0</v>
      </c>
      <c r="J13" s="49">
        <v>0</v>
      </c>
      <c r="K13" s="49">
        <v>0</v>
      </c>
      <c r="L13" s="9"/>
      <c r="M13" s="10">
        <v>5148.69</v>
      </c>
      <c r="N13" s="10"/>
      <c r="O13" s="10"/>
      <c r="P13" s="10"/>
      <c r="Q13" s="10"/>
      <c r="R13" s="10"/>
      <c r="S13" s="10"/>
      <c r="T13" s="10"/>
      <c r="U13" s="10"/>
      <c r="V13" s="10"/>
      <c r="W13" s="17"/>
      <c r="X13" s="58">
        <f t="shared" si="3"/>
        <v>5148.69</v>
      </c>
      <c r="Y13" s="80">
        <f t="shared" si="4"/>
        <v>7108.2</v>
      </c>
    </row>
    <row r="14" spans="1:25" ht="24" customHeight="1" thickBot="1">
      <c r="A14" s="36" t="s">
        <v>34</v>
      </c>
      <c r="B14" s="29" t="s">
        <v>51</v>
      </c>
      <c r="C14" s="48">
        <v>0</v>
      </c>
      <c r="D14" s="49">
        <v>0</v>
      </c>
      <c r="E14" s="71">
        <v>626.39</v>
      </c>
      <c r="F14" s="49">
        <v>0</v>
      </c>
      <c r="G14" s="49">
        <v>0</v>
      </c>
      <c r="H14" s="49"/>
      <c r="I14" s="49">
        <v>0</v>
      </c>
      <c r="J14" s="49">
        <v>800</v>
      </c>
      <c r="K14" s="49">
        <v>0</v>
      </c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7"/>
      <c r="X14" s="58">
        <f t="shared" si="3"/>
        <v>0</v>
      </c>
      <c r="Y14" s="80">
        <f t="shared" si="4"/>
        <v>1426.3899999999999</v>
      </c>
    </row>
    <row r="15" spans="1:25" ht="13.5" customHeight="1" thickBot="1">
      <c r="A15" s="36" t="s">
        <v>35</v>
      </c>
      <c r="B15" s="31" t="s">
        <v>60</v>
      </c>
      <c r="C15" s="48">
        <v>0</v>
      </c>
      <c r="D15" s="49">
        <v>345.54</v>
      </c>
      <c r="E15" s="71">
        <v>941.65</v>
      </c>
      <c r="F15" s="49">
        <v>136.03</v>
      </c>
      <c r="G15" s="49">
        <v>5367.38</v>
      </c>
      <c r="H15" s="49">
        <v>80.81</v>
      </c>
      <c r="I15" s="49">
        <v>482.07</v>
      </c>
      <c r="J15" s="49">
        <v>994.16</v>
      </c>
      <c r="K15" s="49">
        <v>425</v>
      </c>
      <c r="L15" s="9">
        <v>45</v>
      </c>
      <c r="M15" s="10"/>
      <c r="N15" s="10"/>
      <c r="O15" s="10"/>
      <c r="P15" s="10"/>
      <c r="Q15" s="10"/>
      <c r="R15" s="10">
        <v>630</v>
      </c>
      <c r="S15" s="10"/>
      <c r="T15" s="10"/>
      <c r="U15" s="10"/>
      <c r="V15" s="10"/>
      <c r="W15" s="17">
        <v>100</v>
      </c>
      <c r="X15" s="58">
        <f t="shared" si="3"/>
        <v>775</v>
      </c>
      <c r="Y15" s="80">
        <f t="shared" si="4"/>
        <v>9547.640000000001</v>
      </c>
    </row>
    <row r="16" spans="1:25" ht="24.75" customHeight="1" thickBot="1">
      <c r="A16" s="36" t="s">
        <v>36</v>
      </c>
      <c r="B16" s="31" t="s">
        <v>56</v>
      </c>
      <c r="C16" s="48">
        <v>0</v>
      </c>
      <c r="D16" s="49">
        <v>0</v>
      </c>
      <c r="E16" s="71">
        <v>0</v>
      </c>
      <c r="F16" s="49">
        <v>256</v>
      </c>
      <c r="G16" s="49">
        <v>0</v>
      </c>
      <c r="H16" s="49">
        <v>9.21</v>
      </c>
      <c r="I16" s="49">
        <v>0</v>
      </c>
      <c r="J16" s="49">
        <v>51</v>
      </c>
      <c r="K16" s="49">
        <v>306.45</v>
      </c>
      <c r="L16" s="9"/>
      <c r="M16" s="10">
        <v>78</v>
      </c>
      <c r="N16" s="10"/>
      <c r="O16" s="10"/>
      <c r="P16" s="10"/>
      <c r="Q16" s="10"/>
      <c r="R16" s="10"/>
      <c r="S16" s="10"/>
      <c r="T16" s="10"/>
      <c r="U16" s="10"/>
      <c r="V16" s="10"/>
      <c r="W16" s="17"/>
      <c r="X16" s="58">
        <f t="shared" si="3"/>
        <v>78</v>
      </c>
      <c r="Y16" s="80">
        <f t="shared" si="4"/>
        <v>700.66</v>
      </c>
    </row>
    <row r="17" spans="1:25" ht="14.25" customHeight="1" thickBot="1">
      <c r="A17" s="36" t="s">
        <v>37</v>
      </c>
      <c r="B17" s="31" t="s">
        <v>74</v>
      </c>
      <c r="C17" s="48">
        <v>461.68</v>
      </c>
      <c r="D17" s="49">
        <v>1686.04</v>
      </c>
      <c r="E17" s="71">
        <v>2153.49</v>
      </c>
      <c r="F17" s="49">
        <v>1071.89</v>
      </c>
      <c r="G17" s="49">
        <v>0</v>
      </c>
      <c r="H17" s="49"/>
      <c r="I17" s="49">
        <v>0</v>
      </c>
      <c r="J17" s="49">
        <v>0</v>
      </c>
      <c r="K17" s="49">
        <v>6458.65</v>
      </c>
      <c r="L17" s="9">
        <v>673.49</v>
      </c>
      <c r="M17" s="10">
        <v>673.49</v>
      </c>
      <c r="N17" s="10">
        <v>673.49</v>
      </c>
      <c r="O17" s="10">
        <v>673.49</v>
      </c>
      <c r="P17" s="10">
        <v>673.49</v>
      </c>
      <c r="Q17" s="10">
        <v>673.49</v>
      </c>
      <c r="R17" s="10">
        <v>706.86</v>
      </c>
      <c r="S17" s="10"/>
      <c r="T17" s="10"/>
      <c r="U17" s="10"/>
      <c r="V17" s="10"/>
      <c r="W17" s="17"/>
      <c r="X17" s="58">
        <f t="shared" si="3"/>
        <v>4747.799999999999</v>
      </c>
      <c r="Y17" s="80">
        <f t="shared" si="4"/>
        <v>16579.55</v>
      </c>
    </row>
    <row r="18" spans="1:25" ht="15" customHeight="1" thickBot="1">
      <c r="A18" s="36" t="s">
        <v>38</v>
      </c>
      <c r="B18" s="31" t="s">
        <v>6</v>
      </c>
      <c r="C18" s="48">
        <v>65.2</v>
      </c>
      <c r="D18" s="49">
        <v>714.89</v>
      </c>
      <c r="E18" s="71">
        <v>338.18</v>
      </c>
      <c r="F18" s="49">
        <v>298.97</v>
      </c>
      <c r="G18" s="49">
        <v>333.72</v>
      </c>
      <c r="H18" s="49"/>
      <c r="I18" s="49">
        <v>0</v>
      </c>
      <c r="J18" s="49">
        <v>0</v>
      </c>
      <c r="K18" s="49">
        <v>0</v>
      </c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7"/>
      <c r="X18" s="58">
        <f t="shared" si="3"/>
        <v>0</v>
      </c>
      <c r="Y18" s="80">
        <f t="shared" si="4"/>
        <v>1750.96</v>
      </c>
    </row>
    <row r="19" spans="1:25" ht="33.75" customHeight="1" thickBot="1">
      <c r="A19" s="36" t="s">
        <v>39</v>
      </c>
      <c r="B19" s="31" t="s">
        <v>67</v>
      </c>
      <c r="C19" s="48">
        <v>0</v>
      </c>
      <c r="D19" s="49">
        <v>680.83</v>
      </c>
      <c r="E19" s="71">
        <v>2427.28</v>
      </c>
      <c r="F19" s="49">
        <v>3239</v>
      </c>
      <c r="G19" s="49">
        <v>7307.35</v>
      </c>
      <c r="H19" s="49">
        <v>2041.5</v>
      </c>
      <c r="I19" s="49">
        <v>2407.81</v>
      </c>
      <c r="J19" s="49">
        <v>2546.19</v>
      </c>
      <c r="K19" s="49">
        <v>2590.42</v>
      </c>
      <c r="L19" s="9">
        <v>225.94</v>
      </c>
      <c r="M19" s="10">
        <v>207.28</v>
      </c>
      <c r="N19" s="10">
        <v>276.43</v>
      </c>
      <c r="O19" s="10">
        <v>215.56</v>
      </c>
      <c r="P19" s="10">
        <v>181.3</v>
      </c>
      <c r="Q19" s="10">
        <v>262.77</v>
      </c>
      <c r="R19" s="10">
        <v>213.75</v>
      </c>
      <c r="S19" s="10">
        <v>218.59</v>
      </c>
      <c r="T19" s="10">
        <v>179.65</v>
      </c>
      <c r="U19" s="10">
        <v>269.68</v>
      </c>
      <c r="V19" s="10">
        <v>238.42</v>
      </c>
      <c r="W19" s="17">
        <v>232.82</v>
      </c>
      <c r="X19" s="58">
        <f t="shared" si="3"/>
        <v>2722.19</v>
      </c>
      <c r="Y19" s="80">
        <f t="shared" si="4"/>
        <v>25962.569999999996</v>
      </c>
    </row>
    <row r="20" spans="1:25" ht="24" customHeight="1" thickBot="1">
      <c r="A20" s="36" t="s">
        <v>57</v>
      </c>
      <c r="B20" s="31" t="s">
        <v>68</v>
      </c>
      <c r="C20" s="48">
        <v>257.99</v>
      </c>
      <c r="D20" s="49">
        <v>1185.26</v>
      </c>
      <c r="E20" s="71">
        <v>1321.42</v>
      </c>
      <c r="F20" s="49">
        <v>397.07</v>
      </c>
      <c r="G20" s="49">
        <v>282.39</v>
      </c>
      <c r="H20" s="49">
        <v>614.14</v>
      </c>
      <c r="I20" s="49">
        <v>414.98</v>
      </c>
      <c r="J20" s="49">
        <v>362.23</v>
      </c>
      <c r="K20" s="49">
        <v>283.36</v>
      </c>
      <c r="L20" s="9">
        <v>22.33</v>
      </c>
      <c r="M20" s="10">
        <v>14.99</v>
      </c>
      <c r="N20" s="10">
        <v>10.65</v>
      </c>
      <c r="O20" s="10">
        <v>14.96</v>
      </c>
      <c r="P20" s="10">
        <v>13.89</v>
      </c>
      <c r="Q20" s="10">
        <v>16.56</v>
      </c>
      <c r="R20" s="10">
        <v>50.65</v>
      </c>
      <c r="S20" s="10">
        <v>12.97</v>
      </c>
      <c r="T20" s="10">
        <v>16.06</v>
      </c>
      <c r="U20" s="10">
        <v>13.91</v>
      </c>
      <c r="V20" s="10">
        <v>66.49</v>
      </c>
      <c r="W20" s="17">
        <v>21.14</v>
      </c>
      <c r="X20" s="58">
        <f t="shared" si="3"/>
        <v>274.59999999999997</v>
      </c>
      <c r="Y20" s="80">
        <f t="shared" si="4"/>
        <v>5393.44</v>
      </c>
    </row>
    <row r="21" spans="1:25" ht="34.5" thickBot="1">
      <c r="A21" s="36" t="s">
        <v>58</v>
      </c>
      <c r="B21" s="31" t="s">
        <v>69</v>
      </c>
      <c r="C21" s="48">
        <v>0</v>
      </c>
      <c r="D21" s="49">
        <v>5207.78</v>
      </c>
      <c r="E21" s="71">
        <v>2143.06</v>
      </c>
      <c r="F21" s="49">
        <v>2063.94</v>
      </c>
      <c r="G21" s="49">
        <v>2770</v>
      </c>
      <c r="H21" s="49">
        <v>2381.36</v>
      </c>
      <c r="I21" s="49">
        <v>3075.15</v>
      </c>
      <c r="J21" s="49">
        <v>2649.5</v>
      </c>
      <c r="K21" s="49">
        <v>2794.65</v>
      </c>
      <c r="L21" s="9">
        <f>11.18+79.93+123.49</f>
        <v>214.60000000000002</v>
      </c>
      <c r="M21" s="10">
        <f>117.24+12.25+108.14</f>
        <v>237.63</v>
      </c>
      <c r="N21" s="10">
        <f>118.75+12.14+117.36</f>
        <v>248.25</v>
      </c>
      <c r="O21" s="10">
        <f>125.09+12.31+91.42</f>
        <v>228.82</v>
      </c>
      <c r="P21" s="10">
        <f>151.67+11.06+71.35</f>
        <v>234.07999999999998</v>
      </c>
      <c r="Q21" s="10">
        <f>121.8+10.37+68.08</f>
        <v>200.25</v>
      </c>
      <c r="R21" s="10">
        <f>11.67+79.11+153.71</f>
        <v>244.49</v>
      </c>
      <c r="S21" s="10">
        <f>12.39+120.22+119.16</f>
        <v>251.77</v>
      </c>
      <c r="T21" s="10">
        <f>138.83+9.75+92.98</f>
        <v>241.56</v>
      </c>
      <c r="U21" s="10">
        <f>13.01+167.32+135.33</f>
        <v>315.65999999999997</v>
      </c>
      <c r="V21" s="10">
        <f>10.66+93.33+193.88</f>
        <v>297.87</v>
      </c>
      <c r="W21" s="17">
        <f>176.05+12.33+157.95</f>
        <v>346.33000000000004</v>
      </c>
      <c r="X21" s="58">
        <f t="shared" si="3"/>
        <v>3061.3099999999995</v>
      </c>
      <c r="Y21" s="80">
        <f t="shared" si="4"/>
        <v>26146.750000000007</v>
      </c>
    </row>
    <row r="22" spans="1:25" ht="15.75" customHeight="1" thickBot="1">
      <c r="A22" s="36" t="s">
        <v>59</v>
      </c>
      <c r="B22" s="31" t="s">
        <v>10</v>
      </c>
      <c r="C22" s="48">
        <v>247.36</v>
      </c>
      <c r="D22" s="49">
        <v>11019.35</v>
      </c>
      <c r="E22" s="71">
        <v>20521.81</v>
      </c>
      <c r="F22" s="49">
        <v>25926.18</v>
      </c>
      <c r="G22" s="49">
        <v>27367.68</v>
      </c>
      <c r="H22" s="49">
        <v>28014.84</v>
      </c>
      <c r="I22" s="49">
        <v>34464.9</v>
      </c>
      <c r="J22" s="49">
        <v>29717.95</v>
      </c>
      <c r="K22" s="49">
        <v>29721.31</v>
      </c>
      <c r="L22" s="9">
        <f>5283.81-2430.49-500</f>
        <v>2353.3200000000006</v>
      </c>
      <c r="M22" s="10">
        <f>10350.84-7613.09-200</f>
        <v>2537.75</v>
      </c>
      <c r="N22" s="10">
        <f>5055.48-2449.11</f>
        <v>2606.3699999999994</v>
      </c>
      <c r="O22" s="10">
        <f>5107.82-2429.72</f>
        <v>2678.1</v>
      </c>
      <c r="P22" s="10">
        <f>7998.86-5393.89</f>
        <v>2604.9699999999993</v>
      </c>
      <c r="Q22" s="10">
        <f>5034.24-2446.42</f>
        <v>2587.8199999999997</v>
      </c>
      <c r="R22" s="10">
        <f>4850.41-3126.75+500</f>
        <v>2223.66</v>
      </c>
      <c r="S22" s="10">
        <f>4348.94-1727.3</f>
        <v>2621.6399999999994</v>
      </c>
      <c r="T22" s="10">
        <f>4074.14-1632.35</f>
        <v>2441.79</v>
      </c>
      <c r="U22" s="10">
        <f>4469.6-2982.2+500</f>
        <v>1987.4000000000005</v>
      </c>
      <c r="V22" s="10">
        <f>4493.54-1794.12</f>
        <v>2699.42</v>
      </c>
      <c r="W22" s="17">
        <f>4749.17-1897.04+0.03-300</f>
        <v>2552.1600000000003</v>
      </c>
      <c r="X22" s="58">
        <f>SUM(L22:W22)</f>
        <v>29894.399999999998</v>
      </c>
      <c r="Y22" s="80">
        <f>SUM(C22:W22)</f>
        <v>236895.78000000003</v>
      </c>
    </row>
    <row r="23" spans="1:25" ht="13.5" customHeight="1" thickBot="1">
      <c r="A23" s="36" t="s">
        <v>61</v>
      </c>
      <c r="B23" s="32" t="s">
        <v>3</v>
      </c>
      <c r="C23" s="50">
        <v>168.54</v>
      </c>
      <c r="D23" s="51">
        <v>2141.93</v>
      </c>
      <c r="E23" s="72">
        <v>3483.86</v>
      </c>
      <c r="F23" s="51">
        <v>2336.93</v>
      </c>
      <c r="G23" s="51">
        <v>2088.5</v>
      </c>
      <c r="H23" s="51">
        <v>2097.22</v>
      </c>
      <c r="I23" s="51">
        <v>2098.52</v>
      </c>
      <c r="J23" s="51">
        <v>2088.49</v>
      </c>
      <c r="K23" s="51">
        <v>2328.05</v>
      </c>
      <c r="L23" s="11">
        <f aca="true" t="shared" si="5" ref="L23:Q23">27.86+174.29</f>
        <v>202.14999999999998</v>
      </c>
      <c r="M23" s="12">
        <f t="shared" si="5"/>
        <v>202.14999999999998</v>
      </c>
      <c r="N23" s="12">
        <f t="shared" si="5"/>
        <v>202.14999999999998</v>
      </c>
      <c r="O23" s="12">
        <f t="shared" si="5"/>
        <v>202.14999999999998</v>
      </c>
      <c r="P23" s="12">
        <f t="shared" si="5"/>
        <v>202.14999999999998</v>
      </c>
      <c r="Q23" s="12">
        <f t="shared" si="5"/>
        <v>202.14999999999998</v>
      </c>
      <c r="R23" s="12">
        <f>27.86+174.29</f>
        <v>202.14999999999998</v>
      </c>
      <c r="S23" s="12">
        <f>29.17+174.29</f>
        <v>203.45999999999998</v>
      </c>
      <c r="T23" s="12">
        <f>2.48+174.29</f>
        <v>176.76999999999998</v>
      </c>
      <c r="U23" s="12">
        <f>2.48+174.29</f>
        <v>176.76999999999998</v>
      </c>
      <c r="V23" s="12">
        <f>2.48+174.29</f>
        <v>176.76999999999998</v>
      </c>
      <c r="W23" s="19">
        <f>2.62+184.45</f>
        <v>187.07</v>
      </c>
      <c r="X23" s="58">
        <f t="shared" si="3"/>
        <v>2335.89</v>
      </c>
      <c r="Y23" s="80">
        <f t="shared" si="4"/>
        <v>21167.930000000008</v>
      </c>
    </row>
    <row r="24" spans="1:25" ht="13.5" customHeight="1" thickBot="1">
      <c r="A24" s="36"/>
      <c r="B24" s="43" t="s">
        <v>64</v>
      </c>
      <c r="C24" s="74"/>
      <c r="D24" s="75"/>
      <c r="E24" s="76"/>
      <c r="F24" s="75"/>
      <c r="G24" s="75"/>
      <c r="H24" s="58">
        <f>H8*5%</f>
        <v>2765.5200000000004</v>
      </c>
      <c r="I24" s="58">
        <f>I8*5%</f>
        <v>2765.5200000000004</v>
      </c>
      <c r="J24" s="58">
        <f>J8*5%</f>
        <v>2765.5200000000004</v>
      </c>
      <c r="K24" s="87">
        <f>K8*5%</f>
        <v>2769.384</v>
      </c>
      <c r="L24" s="82">
        <f>L8*5%</f>
        <v>230.78200000000004</v>
      </c>
      <c r="M24" s="82">
        <f aca="true" t="shared" si="6" ref="M24:W24">M8*5%</f>
        <v>230.78200000000004</v>
      </c>
      <c r="N24" s="82">
        <f t="shared" si="6"/>
        <v>230.78200000000004</v>
      </c>
      <c r="O24" s="82">
        <f t="shared" si="6"/>
        <v>230.78200000000004</v>
      </c>
      <c r="P24" s="82">
        <f t="shared" si="6"/>
        <v>230.78200000000004</v>
      </c>
      <c r="Q24" s="82">
        <f t="shared" si="6"/>
        <v>230.78200000000004</v>
      </c>
      <c r="R24" s="82">
        <f t="shared" si="6"/>
        <v>230.78200000000004</v>
      </c>
      <c r="S24" s="82">
        <f t="shared" si="6"/>
        <v>230.78200000000004</v>
      </c>
      <c r="T24" s="82">
        <f t="shared" si="6"/>
        <v>230.78200000000004</v>
      </c>
      <c r="U24" s="82">
        <f t="shared" si="6"/>
        <v>230.78200000000004</v>
      </c>
      <c r="V24" s="82">
        <f t="shared" si="6"/>
        <v>230.78200000000004</v>
      </c>
      <c r="W24" s="82">
        <f t="shared" si="6"/>
        <v>230.78200000000004</v>
      </c>
      <c r="X24" s="85">
        <f t="shared" si="3"/>
        <v>2769.3840000000014</v>
      </c>
      <c r="Y24" s="81"/>
    </row>
    <row r="25" spans="1:25" ht="12.75" customHeight="1" thickBot="1">
      <c r="A25" s="36" t="s">
        <v>40</v>
      </c>
      <c r="B25" s="63" t="s">
        <v>53</v>
      </c>
      <c r="C25" s="64"/>
      <c r="D25" s="65"/>
      <c r="E25" s="73"/>
      <c r="F25" s="65"/>
      <c r="G25" s="65"/>
      <c r="H25" s="65"/>
      <c r="I25" s="65"/>
      <c r="J25" s="65"/>
      <c r="K25" s="88">
        <f aca="true" t="shared" si="7" ref="K25:W25">SUM(K8+K9-K10)-K24</f>
        <v>1178.9459999999872</v>
      </c>
      <c r="L25" s="83">
        <f t="shared" si="7"/>
        <v>338.8779999999998</v>
      </c>
      <c r="M25" s="83">
        <f t="shared" si="7"/>
        <v>-5028.151999999998</v>
      </c>
      <c r="N25" s="83">
        <f t="shared" si="7"/>
        <v>67.20800000000065</v>
      </c>
      <c r="O25" s="83">
        <f t="shared" si="7"/>
        <v>14.868000000000507</v>
      </c>
      <c r="P25" s="83">
        <f t="shared" si="7"/>
        <v>-2876.1719999999996</v>
      </c>
      <c r="Q25" s="83">
        <f t="shared" si="7"/>
        <v>88.44800000000043</v>
      </c>
      <c r="R25" s="83">
        <f t="shared" si="7"/>
        <v>-193.09199999999953</v>
      </c>
      <c r="S25" s="83">
        <f t="shared" si="7"/>
        <v>101.51800000000105</v>
      </c>
      <c r="T25" s="83">
        <f t="shared" si="7"/>
        <v>376.3180000000008</v>
      </c>
      <c r="U25" s="83">
        <f t="shared" si="7"/>
        <v>-519.1419999999997</v>
      </c>
      <c r="V25" s="83">
        <f t="shared" si="7"/>
        <v>-43.08200000000022</v>
      </c>
      <c r="W25" s="83">
        <f t="shared" si="7"/>
        <v>1.258000000000834</v>
      </c>
      <c r="X25" s="85">
        <f t="shared" si="3"/>
        <v>-7671.143999999994</v>
      </c>
      <c r="Y25" s="66"/>
    </row>
    <row r="26" spans="1:25" ht="23.25" customHeight="1" thickBot="1">
      <c r="A26" s="89" t="s">
        <v>41</v>
      </c>
      <c r="B26" s="96" t="s">
        <v>24</v>
      </c>
      <c r="C26" s="97">
        <v>5408.24</v>
      </c>
      <c r="D26" s="98">
        <v>9277</v>
      </c>
      <c r="E26" s="99">
        <f>SUM(E8-E10)</f>
        <v>4706.169999999998</v>
      </c>
      <c r="F26" s="100">
        <f>SUM(F8-F10)</f>
        <v>8536.470000000008</v>
      </c>
      <c r="G26" s="100">
        <f>SUM(G8-G10)</f>
        <v>-15720.900000000001</v>
      </c>
      <c r="H26" s="92">
        <f>SUM(H8-H10)-H24</f>
        <v>2099.9900000000016</v>
      </c>
      <c r="I26" s="92">
        <f>SUM(I8-I10)-I24</f>
        <v>-4000.130000000001</v>
      </c>
      <c r="J26" s="92">
        <f>SUM(J8-J10)-J24</f>
        <v>975.2800000000025</v>
      </c>
      <c r="K26" s="101">
        <f>SUM(K8+K9-K10)-K24</f>
        <v>1178.9459999999872</v>
      </c>
      <c r="L26" s="102">
        <f>SUM(L8+L9-L10)-L24</f>
        <v>338.8779999999998</v>
      </c>
      <c r="M26" s="103">
        <f>SUM(M25+L26)</f>
        <v>-4689.2739999999985</v>
      </c>
      <c r="N26" s="103">
        <f aca="true" t="shared" si="8" ref="N26:W26">SUM(N25+M26)</f>
        <v>-4622.065999999998</v>
      </c>
      <c r="O26" s="103">
        <f t="shared" si="8"/>
        <v>-4607.197999999998</v>
      </c>
      <c r="P26" s="103">
        <f t="shared" si="8"/>
        <v>-7483.369999999997</v>
      </c>
      <c r="Q26" s="103">
        <f t="shared" si="8"/>
        <v>-7394.921999999997</v>
      </c>
      <c r="R26" s="103">
        <f t="shared" si="8"/>
        <v>-7588.0139999999965</v>
      </c>
      <c r="S26" s="103">
        <f t="shared" si="8"/>
        <v>-7486.495999999996</v>
      </c>
      <c r="T26" s="103">
        <f t="shared" si="8"/>
        <v>-7110.177999999994</v>
      </c>
      <c r="U26" s="103">
        <f t="shared" si="8"/>
        <v>-7629.319999999994</v>
      </c>
      <c r="V26" s="103">
        <f t="shared" si="8"/>
        <v>-7672.401999999995</v>
      </c>
      <c r="W26" s="103">
        <f t="shared" si="8"/>
        <v>-7671.143999999994</v>
      </c>
      <c r="X26" s="100"/>
      <c r="Y26" s="104"/>
    </row>
    <row r="27" spans="1:25" ht="0.75" customHeight="1" thickBot="1">
      <c r="A27" s="36" t="s">
        <v>42</v>
      </c>
      <c r="B27" s="43" t="s">
        <v>25</v>
      </c>
      <c r="C27" s="39">
        <v>5408.24</v>
      </c>
      <c r="D27" s="43">
        <v>14685.23</v>
      </c>
      <c r="E27" s="18">
        <f>SUM(E8-E10,D27)</f>
        <v>19391.399999999998</v>
      </c>
      <c r="F27" s="58">
        <f>SUM(F8-F10,E27)</f>
        <v>27927.870000000006</v>
      </c>
      <c r="G27" s="58">
        <f>SUM(G8-G10,F27)</f>
        <v>12206.970000000005</v>
      </c>
      <c r="H27" s="77">
        <f>SUM(H26+G27)</f>
        <v>14306.960000000006</v>
      </c>
      <c r="I27" s="77">
        <f>SUM(I26+H27)</f>
        <v>10306.830000000005</v>
      </c>
      <c r="J27" s="77">
        <f>SUM(J26+I27)</f>
        <v>11282.110000000008</v>
      </c>
      <c r="K27" s="84">
        <f>SUM(K26+J27)+0.06</f>
        <v>12461.115999999995</v>
      </c>
      <c r="L27" s="84">
        <f>SUM(L26+K27)+0.06</f>
        <v>12800.053999999995</v>
      </c>
      <c r="M27" s="86">
        <f>SUM(M25+L27)</f>
        <v>7771.901999999996</v>
      </c>
      <c r="N27" s="86">
        <f>SUM(N25+M27)</f>
        <v>7839.109999999997</v>
      </c>
      <c r="O27" s="86">
        <f>SUM(O25+N27)</f>
        <v>7853.977999999997</v>
      </c>
      <c r="P27" s="86">
        <f aca="true" t="shared" si="9" ref="P27:W27">SUM(P25+O27)</f>
        <v>4977.805999999998</v>
      </c>
      <c r="Q27" s="86">
        <f t="shared" si="9"/>
        <v>5066.253999999998</v>
      </c>
      <c r="R27" s="86">
        <f t="shared" si="9"/>
        <v>4873.161999999998</v>
      </c>
      <c r="S27" s="86">
        <f t="shared" si="9"/>
        <v>4974.679999999999</v>
      </c>
      <c r="T27" s="86">
        <f t="shared" si="9"/>
        <v>5350.9980000000005</v>
      </c>
      <c r="U27" s="86">
        <f t="shared" si="9"/>
        <v>4831.856000000001</v>
      </c>
      <c r="V27" s="86">
        <f t="shared" si="9"/>
        <v>4788.774</v>
      </c>
      <c r="W27" s="86">
        <f t="shared" si="9"/>
        <v>4790.032000000001</v>
      </c>
      <c r="X27" s="58"/>
      <c r="Y27" s="53"/>
    </row>
    <row r="28" spans="1:25" ht="9.75" customHeight="1" hidden="1" thickBot="1">
      <c r="A28" s="36" t="s">
        <v>43</v>
      </c>
      <c r="B28" s="43" t="s">
        <v>8</v>
      </c>
      <c r="C28" s="40"/>
      <c r="D28" s="44"/>
      <c r="E28" s="44"/>
      <c r="F28" s="40"/>
      <c r="G28" s="40"/>
      <c r="H28" s="40"/>
      <c r="I28" s="40"/>
      <c r="J28" s="40"/>
      <c r="K28" s="40"/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20"/>
      <c r="X28" s="58"/>
      <c r="Y28" s="54"/>
    </row>
    <row r="29" spans="1:25" ht="15" customHeight="1" hidden="1" thickBot="1">
      <c r="A29" s="37" t="s">
        <v>44</v>
      </c>
      <c r="B29" s="33" t="s">
        <v>26</v>
      </c>
      <c r="C29" s="40"/>
      <c r="D29" s="44"/>
      <c r="E29" s="44"/>
      <c r="F29" s="40"/>
      <c r="G29" s="40"/>
      <c r="H29" s="40"/>
      <c r="I29" s="40"/>
      <c r="J29" s="40"/>
      <c r="K29" s="40"/>
      <c r="L29" s="13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20"/>
      <c r="X29" s="59"/>
      <c r="Y29" s="55"/>
    </row>
    <row r="30" spans="1:25" ht="0.75" customHeight="1" hidden="1" thickBot="1">
      <c r="A30" s="37" t="s">
        <v>47</v>
      </c>
      <c r="B30" s="34" t="s">
        <v>48</v>
      </c>
      <c r="C30" s="41"/>
      <c r="D30" s="45"/>
      <c r="E30" s="45"/>
      <c r="F30" s="41"/>
      <c r="G30" s="41"/>
      <c r="H30" s="41"/>
      <c r="I30" s="41"/>
      <c r="J30" s="41"/>
      <c r="K30" s="41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>
        <f>SUM(W26-W28)</f>
        <v>-7671.143999999994</v>
      </c>
      <c r="X30" s="60"/>
      <c r="Y30" s="56"/>
    </row>
    <row r="31" spans="1:25" ht="24" customHeight="1" hidden="1" thickBot="1">
      <c r="A31" s="62" t="s">
        <v>52</v>
      </c>
      <c r="B31" s="34" t="s">
        <v>27</v>
      </c>
      <c r="C31" s="41"/>
      <c r="D31" s="45"/>
      <c r="E31" s="45"/>
      <c r="F31" s="41"/>
      <c r="G31" s="41"/>
      <c r="H31" s="41"/>
      <c r="I31" s="41"/>
      <c r="J31" s="41"/>
      <c r="K31" s="41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5">
        <f>SUM(W27-W28)</f>
        <v>4790.032000000001</v>
      </c>
      <c r="X31" s="60"/>
      <c r="Y31" s="56"/>
    </row>
    <row r="32" spans="3:25" ht="0.75" customHeight="1" hidden="1"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/>
    </row>
    <row r="33" ht="0.75" customHeight="1" hidden="1"/>
    <row r="34" ht="12.75" hidden="1"/>
    <row r="35" ht="12.75" hidden="1"/>
    <row r="36" ht="12.75">
      <c r="B36" t="s">
        <v>70</v>
      </c>
    </row>
    <row r="40" ht="12.75" customHeight="1"/>
    <row r="41" ht="12.75" customHeight="1"/>
  </sheetData>
  <sheetProtection/>
  <mergeCells count="5">
    <mergeCell ref="B4:Y4"/>
    <mergeCell ref="B5:Y5"/>
    <mergeCell ref="B3:Y3"/>
    <mergeCell ref="B1:N1"/>
    <mergeCell ref="B2:U2"/>
  </mergeCells>
  <printOptions/>
  <pageMargins left="0.2362204724409449" right="0.2362204724409449" top="0.984251968503937" bottom="0.2362204724409449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2019-02-11T10:19:16Z</cp:lastPrinted>
  <dcterms:created xsi:type="dcterms:W3CDTF">2011-06-16T11:06:26Z</dcterms:created>
  <dcterms:modified xsi:type="dcterms:W3CDTF">2019-02-13T05:21:47Z</dcterms:modified>
  <cp:category/>
  <cp:version/>
  <cp:contentType/>
  <cp:contentStatus/>
</cp:coreProperties>
</file>