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<sst xmlns="http://schemas.openxmlformats.org/spreadsheetml/2006/main" count="80" uniqueCount="80">
  <si>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</si>
  <si>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</si>
  <si>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</si>
  <si>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</si>
  <si>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</si>
  <si>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</si>
  <si>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</si>
  <si>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</si>
  <si>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</si>
  <si>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</si>
  <si>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</si>
  <si>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</si>
  <si>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</si>
  <si>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</si>
  <si>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</si>
  <si>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</si>
  <si>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</si>
  <si>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</si>
  <si>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</si>
  <si>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</si>
  <si>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</si>
  <si>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</si>
  <si>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</si>
  <si>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</si>
  <si>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</si>
  <si>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</si>
  <si>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</si>
  <si>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</si>
  <si>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</si>
  <si>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</si>
  <si>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</si>
  <si>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</si>
  <si>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</si>
  <si>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</si>
  <si>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</si>
  <si>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</si>
  <si>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</si>
  <si>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</si>
  <si>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</si>
  <si>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</si>
  <si>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</si>
  <si>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</si>
  <si>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</si>
  <si>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</si>
  <si>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</si>
  <si>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</si>
  <si>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</si>
  <si>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</si>
  <si>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</si>
  <si>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</si>
  <si>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Первомайская д.14</t>
  </si>
  <si>
    <t>Благоустройство территории</t>
  </si>
  <si>
    <t>11</t>
  </si>
  <si>
    <t>Итого за 2011 г</t>
  </si>
  <si>
    <t>Результат за месяц</t>
  </si>
  <si>
    <t>Исполнитель /Викторова Л.С./</t>
  </si>
  <si>
    <t>Итого за 2012 г</t>
  </si>
  <si>
    <t>4.12</t>
  </si>
  <si>
    <t>4.13</t>
  </si>
  <si>
    <t xml:space="preserve">Материалы 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</si>
  <si>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</si>
  <si>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</si>
  <si>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</si>
  <si>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</si>
  <si>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</si>
  <si>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</si>
  <si>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</si>
  <si>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2016 г</t>
  </si>
  <si>
    <t>Проверка вент.каналов</t>
  </si>
  <si>
    <t>Дом по ул.Первомайская д.14 вступил в ООО "Наш дом" с ноября 2009 год        тариф 9,20 руб</t>
  </si>
  <si>
    <t>Итого за 2017 г</t>
  </si>
  <si>
    <t>Начислено  СОИД</t>
  </si>
  <si>
    <t>Начислено 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</si>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</sst>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19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32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9" xfId="0" applyNumberFormat="1" applyFont="1" applyBorder="1" applyAlignment="1">
      <alignment/>
    </xf>
    <xf numFmtId="0" fontId="26" fillId="0" borderId="50" xfId="0" applyFont="1" applyBorder="1" applyAlignment="1">
      <alignment wrapText="1"/>
    </xf>
    <xf numFmtId="2" fontId="21" fillId="0" borderId="23" xfId="0" applyNumberFormat="1" applyFont="1" applyBorder="1" applyAlignment="1">
      <alignment/>
    </xf>
    <xf numFmtId="0" fontId="21" fillId="2" borderId="42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2" fontId="21" fillId="0" borderId="4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9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28" fillId="0" borderId="52" xfId="0" applyFont="1" applyBorder="1" applyAlignment="1">
      <alignment wrapText="1"/>
    </xf>
    <xf numFmtId="0" fontId="28" fillId="0" borderId="51" xfId="0" applyFont="1" applyBorder="1" applyAlignment="1">
      <alignment/>
    </xf>
    <xf numFmtId="0" fontId="28" fillId="0" borderId="52" xfId="0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43" xfId="0" applyNumberFormat="1" applyFont="1" applyBorder="1" applyAlignment="1">
      <alignment/>
    </xf>
    <xf numFmtId="2" fontId="28" fillId="0" borderId="52" xfId="0" applyNumberFormat="1" applyFont="1" applyBorder="1" applyAlignment="1">
      <alignment/>
    </xf>
    <xf numFmtId="2" fontId="28" fillId="0" borderId="53" xfId="0" applyNumberFormat="1" applyFont="1" applyBorder="1" applyAlignment="1">
      <alignment/>
    </xf>
    <xf numFmtId="2" fontId="28" fillId="0" borderId="54" xfId="0" applyNumberFormat="1" applyFont="1" applyBorder="1" applyAlignment="1">
      <alignment/>
    </xf>
    <xf numFmtId="0" fontId="22" fillId="0" borderId="49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8">
      <selection activeCell="V26" sqref="V26"/>
    </sheetView>
  </sheetViews>
  <sheetFormatPr defaultColWidth="9.00390625" defaultRowHeight="12.75"/>
  <cols>
    <col min="1" max="1" width="2.875" style="26" customWidth="1"/>
    <col min="2" max="2" width="21.375" style="0" customWidth="1"/>
    <col min="3" max="3" width="6.625" style="0" hidden="1" customWidth="1"/>
    <col min="4" max="4" width="11.625" style="0" hidden="1" customWidth="1"/>
    <col min="5" max="5" width="11.375" style="0" hidden="1" customWidth="1"/>
    <col min="6" max="6" width="10.875" style="0" hidden="1" customWidth="1"/>
    <col min="7" max="7" width="11.00390625" style="0" hidden="1" customWidth="1"/>
    <col min="8" max="8" width="9.00390625" style="0" hidden="1" customWidth="1"/>
    <col min="9" max="9" width="10.25390625" style="0" hidden="1" customWidth="1"/>
    <col min="10" max="10" width="11.75390625" style="0" hidden="1" customWidth="1"/>
    <col min="11" max="11" width="8.875" style="0" hidden="1" customWidth="1"/>
    <col min="12" max="12" width="8.375" style="0" customWidth="1"/>
    <col min="13" max="13" width="8.625" style="0" customWidth="1"/>
    <col min="14" max="14" width="8.375" style="0" customWidth="1"/>
    <col min="15" max="15" width="8.125" style="0" customWidth="1"/>
    <col min="16" max="16" width="9.00390625" style="0" customWidth="1"/>
    <col min="17" max="17" width="8.875" style="0" customWidth="1"/>
    <col min="18" max="18" width="7.875" style="0" customWidth="1"/>
    <col min="19" max="19" width="8.625" style="0" customWidth="1"/>
    <col min="20" max="20" width="8.75390625" style="0" customWidth="1"/>
    <col min="21" max="21" width="8.25390625" style="0" customWidth="1"/>
    <col min="22" max="23" width="8.125" style="0" customWidth="1"/>
    <col min="24" max="24" width="9.375" style="0" customWidth="1"/>
    <col min="25" max="25" width="10.125" style="0" customWidth="1"/>
  </cols>
  <sheetData>
    <row r="1" spans="2:30" ht="12.75" customHeight="1">
      <c r="B1" s="114" t="s">
        <v>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14" t="s">
        <v>69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4"/>
      <c r="W2" s="4"/>
      <c r="X2" s="4"/>
      <c r="Y2" s="4"/>
      <c r="Z2" s="4"/>
      <c r="AA2" s="4"/>
      <c r="AB2" s="4"/>
      <c r="AC2" s="4"/>
      <c r="AD2" s="4"/>
    </row>
    <row r="3" spans="2:30" ht="12.75" customHeight="1">
      <c r="B3" s="1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3"/>
      <c r="AA3" s="3"/>
      <c r="AB3" s="3"/>
      <c r="AC3" s="3"/>
      <c r="AD3" s="3"/>
    </row>
    <row r="4" spans="2:30" ht="15" customHeight="1">
      <c r="B4" s="112" t="s">
        <v>11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2"/>
      <c r="AA4" s="2"/>
      <c r="AB4" s="2"/>
      <c r="AC4" s="2"/>
      <c r="AD4" s="2"/>
    </row>
    <row r="5" spans="2:30" ht="12" customHeight="1" thickBot="1">
      <c r="B5" s="112" t="s">
        <v>50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2"/>
      <c r="AA5" s="2"/>
      <c r="AB5" s="2"/>
      <c r="AC5" s="2"/>
      <c r="AD5" s="2"/>
    </row>
    <row r="6" spans="1:30" ht="42" customHeight="1" thickBot="1">
      <c r="A6" s="35" t="s">
        <v>28</v>
      </c>
      <c r="B6" s="27" t="s">
        <v>7</v>
      </c>
      <c r="C6" s="38" t="s">
        <v>46</v>
      </c>
      <c r="D6" s="42" t="s">
        <v>47</v>
      </c>
      <c r="E6" s="70" t="s">
        <v>53</v>
      </c>
      <c r="F6" s="59" t="s">
        <v>56</v>
      </c>
      <c r="G6" s="59" t="s">
        <v>60</v>
      </c>
      <c r="H6" s="59" t="s">
        <v>61</v>
      </c>
      <c r="I6" s="70" t="s">
        <v>63</v>
      </c>
      <c r="J6" s="59" t="s">
        <v>67</v>
      </c>
      <c r="K6" s="59" t="s">
        <v>70</v>
      </c>
      <c r="L6" s="6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5" t="s">
        <v>23</v>
      </c>
      <c r="W6" s="15" t="s">
        <v>22</v>
      </c>
      <c r="X6" s="59" t="s">
        <v>78</v>
      </c>
      <c r="Y6" s="54" t="s">
        <v>79</v>
      </c>
      <c r="Z6" s="1"/>
      <c r="AA6" s="1"/>
      <c r="AB6" s="1"/>
      <c r="AC6" s="1"/>
      <c r="AD6" s="1"/>
    </row>
    <row r="7" spans="1:25" ht="13.5" thickBot="1">
      <c r="A7" s="36" t="s">
        <v>29</v>
      </c>
      <c r="B7" s="28" t="s">
        <v>1</v>
      </c>
      <c r="C7" s="67">
        <v>22141.26</v>
      </c>
      <c r="D7" s="68">
        <v>132747.88</v>
      </c>
      <c r="E7" s="71">
        <v>144615.11</v>
      </c>
      <c r="F7" s="69">
        <v>147338.18</v>
      </c>
      <c r="G7" s="68">
        <v>147167.04</v>
      </c>
      <c r="H7" s="69">
        <v>145096.64</v>
      </c>
      <c r="I7" s="86">
        <v>152045.4</v>
      </c>
      <c r="J7" s="69">
        <v>164688.51</v>
      </c>
      <c r="K7" s="68">
        <v>160396.75</v>
      </c>
      <c r="L7" s="7">
        <v>13397.5</v>
      </c>
      <c r="M7" s="7">
        <v>13397.5</v>
      </c>
      <c r="N7" s="7">
        <v>13397.5</v>
      </c>
      <c r="O7" s="7">
        <v>13397.5</v>
      </c>
      <c r="P7" s="7">
        <v>13397.5</v>
      </c>
      <c r="Q7" s="7">
        <v>13397.5</v>
      </c>
      <c r="R7" s="8">
        <v>13397.5</v>
      </c>
      <c r="S7" s="8">
        <v>13397.5</v>
      </c>
      <c r="T7" s="8">
        <v>13397.5</v>
      </c>
      <c r="U7" s="8">
        <v>13397.5</v>
      </c>
      <c r="V7" s="8">
        <v>13397.5</v>
      </c>
      <c r="W7" s="8">
        <v>13397.5</v>
      </c>
      <c r="X7" s="60">
        <f>SUM(L7:W7)</f>
        <v>160770</v>
      </c>
      <c r="Y7" s="83">
        <f>SUM(C7:W7)</f>
        <v>1377006.77</v>
      </c>
    </row>
    <row r="8" spans="1:25" ht="13.5" thickBot="1">
      <c r="A8" s="36"/>
      <c r="B8" s="28" t="s">
        <v>71</v>
      </c>
      <c r="C8" s="67"/>
      <c r="D8" s="69"/>
      <c r="E8" s="71"/>
      <c r="F8" s="69"/>
      <c r="G8" s="69"/>
      <c r="H8" s="69"/>
      <c r="I8" s="71"/>
      <c r="J8" s="69"/>
      <c r="K8" s="69">
        <v>17027.02</v>
      </c>
      <c r="L8" s="7">
        <f aca="true" t="shared" si="0" ref="L8:Q8">1423.08+58.14+84.56+41.05</f>
        <v>1606.83</v>
      </c>
      <c r="M8" s="7">
        <f t="shared" si="0"/>
        <v>1606.83</v>
      </c>
      <c r="N8" s="7">
        <f t="shared" si="0"/>
        <v>1606.83</v>
      </c>
      <c r="O8" s="7">
        <f t="shared" si="0"/>
        <v>1606.83</v>
      </c>
      <c r="P8" s="7">
        <f t="shared" si="0"/>
        <v>1606.83</v>
      </c>
      <c r="Q8" s="7">
        <f t="shared" si="0"/>
        <v>1606.83</v>
      </c>
      <c r="R8" s="8">
        <f>1493.56+58.49+85.28+42.39</f>
        <v>1679.72</v>
      </c>
      <c r="S8" s="8">
        <f>58.49+85.28+42.39</f>
        <v>186.16000000000003</v>
      </c>
      <c r="T8" s="8">
        <f>58.49+85.28+42.39</f>
        <v>186.16000000000003</v>
      </c>
      <c r="U8" s="8">
        <f>58.49+85.28+42.39</f>
        <v>186.16000000000003</v>
      </c>
      <c r="V8" s="8">
        <f>58.49+85.28+42.39</f>
        <v>186.16000000000003</v>
      </c>
      <c r="W8" s="8">
        <f>58.49+85.28+42.39</f>
        <v>186.16000000000003</v>
      </c>
      <c r="X8" s="60">
        <f>SUM(L8:W8)</f>
        <v>12251.499999999998</v>
      </c>
      <c r="Y8" s="83">
        <f>SUM(C8:W8)</f>
        <v>29278.520000000008</v>
      </c>
    </row>
    <row r="9" spans="1:25" ht="12.75" customHeight="1" thickBot="1">
      <c r="A9" s="36"/>
      <c r="B9" s="28" t="s">
        <v>72</v>
      </c>
      <c r="C9" s="67"/>
      <c r="D9" s="69"/>
      <c r="E9" s="71"/>
      <c r="F9" s="69"/>
      <c r="G9" s="69"/>
      <c r="H9" s="69"/>
      <c r="I9" s="71"/>
      <c r="J9" s="69"/>
      <c r="K9" s="69">
        <v>9759.94</v>
      </c>
      <c r="L9" s="7">
        <v>889.84</v>
      </c>
      <c r="M9" s="7">
        <v>889.84</v>
      </c>
      <c r="N9" s="7">
        <v>889.84</v>
      </c>
      <c r="O9" s="7">
        <v>889.84</v>
      </c>
      <c r="P9" s="7">
        <v>889.84</v>
      </c>
      <c r="Q9" s="7">
        <v>889.84</v>
      </c>
      <c r="R9" s="8">
        <v>894.12</v>
      </c>
      <c r="S9" s="8">
        <v>894.12</v>
      </c>
      <c r="T9" s="8">
        <v>894.12</v>
      </c>
      <c r="U9" s="8">
        <v>894.12</v>
      </c>
      <c r="V9" s="8">
        <v>894.12</v>
      </c>
      <c r="W9" s="8">
        <v>894.12</v>
      </c>
      <c r="X9" s="60">
        <f>SUM(L9:W9)</f>
        <v>10703.760000000002</v>
      </c>
      <c r="Y9" s="83">
        <f>SUM(C9:W9)</f>
        <v>20463.699999999997</v>
      </c>
    </row>
    <row r="10" spans="1:25" s="100" customFormat="1" ht="13.5" thickBot="1">
      <c r="A10" s="93" t="s">
        <v>30</v>
      </c>
      <c r="B10" s="94" t="s">
        <v>2</v>
      </c>
      <c r="C10" s="95">
        <v>15888.97</v>
      </c>
      <c r="D10" s="96">
        <f aca="true" t="shared" si="1" ref="D10:L10">SUM(D11:D26)</f>
        <v>136865.22</v>
      </c>
      <c r="E10" s="95">
        <f t="shared" si="1"/>
        <v>144395.69999999998</v>
      </c>
      <c r="F10" s="96">
        <f t="shared" si="1"/>
        <v>138866.03999999998</v>
      </c>
      <c r="G10" s="96">
        <f t="shared" si="1"/>
        <v>164365.93</v>
      </c>
      <c r="H10" s="96">
        <f t="shared" si="1"/>
        <v>152692.19999999998</v>
      </c>
      <c r="I10" s="97">
        <f>SUM(I11:I26)</f>
        <v>146840.81</v>
      </c>
      <c r="J10" s="96">
        <f>SUM(J11:J26)</f>
        <v>159478.61999999997</v>
      </c>
      <c r="K10" s="96">
        <f>SUM(K11:K26)</f>
        <v>170424.63000000003</v>
      </c>
      <c r="L10" s="98">
        <f t="shared" si="1"/>
        <v>14223.94</v>
      </c>
      <c r="M10" s="98">
        <f aca="true" t="shared" si="2" ref="M10:W10">SUM(M11:M26)</f>
        <v>15232.85</v>
      </c>
      <c r="N10" s="98">
        <f t="shared" si="2"/>
        <v>16337.919999999998</v>
      </c>
      <c r="O10" s="98">
        <f t="shared" si="2"/>
        <v>15754.98</v>
      </c>
      <c r="P10" s="98">
        <f t="shared" si="2"/>
        <v>14403.679999999998</v>
      </c>
      <c r="Q10" s="98">
        <f>SUM(Q11:Q26)</f>
        <v>13683.329999999998</v>
      </c>
      <c r="R10" s="98">
        <f t="shared" si="2"/>
        <v>13919.23</v>
      </c>
      <c r="S10" s="98">
        <f t="shared" si="2"/>
        <v>12221.04</v>
      </c>
      <c r="T10" s="98">
        <f t="shared" si="2"/>
        <v>12046.02</v>
      </c>
      <c r="U10" s="98">
        <f t="shared" si="2"/>
        <v>15137.439999999999</v>
      </c>
      <c r="V10" s="98">
        <f t="shared" si="2"/>
        <v>13261.62</v>
      </c>
      <c r="W10" s="95">
        <f t="shared" si="2"/>
        <v>22648.37</v>
      </c>
      <c r="X10" s="96">
        <f>SUM(L10:W10)</f>
        <v>178870.41999999998</v>
      </c>
      <c r="Y10" s="99">
        <f>SUM(C10:W10)</f>
        <v>1408688.54</v>
      </c>
    </row>
    <row r="11" spans="1:25" ht="13.5" thickBot="1">
      <c r="A11" s="36" t="s">
        <v>31</v>
      </c>
      <c r="B11" s="30" t="s">
        <v>4</v>
      </c>
      <c r="C11" s="46"/>
      <c r="D11" s="47">
        <v>18521.52</v>
      </c>
      <c r="E11" s="72">
        <v>15345.21</v>
      </c>
      <c r="F11" s="47">
        <v>33296.7</v>
      </c>
      <c r="G11" s="47">
        <v>38825.96</v>
      </c>
      <c r="H11" s="47">
        <v>36710.01</v>
      </c>
      <c r="I11" s="72">
        <v>37627.46</v>
      </c>
      <c r="J11" s="47">
        <v>36016.95</v>
      </c>
      <c r="K11" s="47">
        <v>37563.05</v>
      </c>
      <c r="L11" s="7">
        <f>2809+110.43</f>
        <v>2919.43</v>
      </c>
      <c r="M11" s="8">
        <f>2756+119.04</f>
        <v>2875.04</v>
      </c>
      <c r="N11" s="8">
        <f>2862+87.5</f>
        <v>2949.5</v>
      </c>
      <c r="O11" s="8">
        <f>2862+246.5</f>
        <v>3108.5</v>
      </c>
      <c r="P11" s="8">
        <f>2862+230.32</f>
        <v>3092.32</v>
      </c>
      <c r="Q11" s="8">
        <f>2862+236.56</f>
        <v>3098.56</v>
      </c>
      <c r="R11" s="8">
        <f>2862+201.86</f>
        <v>3063.86</v>
      </c>
      <c r="S11" s="8">
        <f>2809+250.89</f>
        <v>3059.89</v>
      </c>
      <c r="T11" s="8">
        <f>2809+186.49</f>
        <v>2995.49</v>
      </c>
      <c r="U11" s="8">
        <f>2862+153.93</f>
        <v>3015.93</v>
      </c>
      <c r="V11" s="8">
        <f>2703+169.6</f>
        <v>2872.6</v>
      </c>
      <c r="W11" s="16">
        <f>2703+155.89</f>
        <v>2858.89</v>
      </c>
      <c r="X11" s="62">
        <f aca="true" t="shared" si="3" ref="X11:X28">SUM(L11:W11)</f>
        <v>35910.009999999995</v>
      </c>
      <c r="Y11" s="84">
        <f aca="true" t="shared" si="4" ref="Y11:Y26">SUM(C11:W11)</f>
        <v>289816.86999999994</v>
      </c>
    </row>
    <row r="12" spans="1:25" ht="15" customHeight="1" thickBot="1">
      <c r="A12" s="36" t="s">
        <v>32</v>
      </c>
      <c r="B12" s="31" t="s">
        <v>64</v>
      </c>
      <c r="C12" s="48"/>
      <c r="D12" s="49">
        <v>39491.11</v>
      </c>
      <c r="E12" s="73">
        <v>14920.93</v>
      </c>
      <c r="F12" s="49">
        <f>4085.08+630</f>
        <v>4715.08</v>
      </c>
      <c r="G12" s="49">
        <f>7898.32+1650</f>
        <v>9548.32</v>
      </c>
      <c r="H12" s="49">
        <f>1611.95+900</f>
        <v>2511.95</v>
      </c>
      <c r="I12" s="73">
        <v>5929.13</v>
      </c>
      <c r="J12" s="49">
        <v>1858.85</v>
      </c>
      <c r="K12" s="49">
        <f>999.38</f>
        <v>999.38</v>
      </c>
      <c r="L12" s="9">
        <v>500</v>
      </c>
      <c r="M12" s="10">
        <v>1400</v>
      </c>
      <c r="N12" s="10">
        <f>1240+430</f>
        <v>1670</v>
      </c>
      <c r="O12" s="10">
        <v>1840</v>
      </c>
      <c r="P12" s="10">
        <v>1000</v>
      </c>
      <c r="Q12" s="10"/>
      <c r="R12" s="10"/>
      <c r="S12" s="10"/>
      <c r="T12" s="10"/>
      <c r="U12" s="10"/>
      <c r="V12" s="10"/>
      <c r="W12" s="17"/>
      <c r="X12" s="62">
        <f t="shared" si="3"/>
        <v>6410</v>
      </c>
      <c r="Y12" s="84">
        <f t="shared" si="4"/>
        <v>86384.75000000001</v>
      </c>
    </row>
    <row r="13" spans="1:25" ht="14.25" customHeight="1" thickBot="1">
      <c r="A13" s="36" t="s">
        <v>33</v>
      </c>
      <c r="B13" s="29" t="s">
        <v>5</v>
      </c>
      <c r="C13" s="48"/>
      <c r="D13" s="49">
        <v>0</v>
      </c>
      <c r="E13" s="73">
        <v>0</v>
      </c>
      <c r="F13" s="49">
        <v>0</v>
      </c>
      <c r="G13" s="49">
        <v>0</v>
      </c>
      <c r="H13" s="49"/>
      <c r="I13" s="73">
        <v>0</v>
      </c>
      <c r="J13" s="49">
        <v>7189.9</v>
      </c>
      <c r="K13" s="49">
        <v>0</v>
      </c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7">
        <v>10858.53</v>
      </c>
      <c r="X13" s="62">
        <f t="shared" si="3"/>
        <v>10858.53</v>
      </c>
      <c r="Y13" s="84">
        <f t="shared" si="4"/>
        <v>18048.43</v>
      </c>
    </row>
    <row r="14" spans="1:25" ht="15" customHeight="1" thickBot="1">
      <c r="A14" s="36"/>
      <c r="B14" s="29" t="s">
        <v>68</v>
      </c>
      <c r="C14" s="48"/>
      <c r="D14" s="49"/>
      <c r="E14" s="73"/>
      <c r="F14" s="49"/>
      <c r="G14" s="49"/>
      <c r="H14" s="49"/>
      <c r="I14" s="73"/>
      <c r="J14" s="49">
        <v>1700</v>
      </c>
      <c r="K14" s="49">
        <v>1000</v>
      </c>
      <c r="L14" s="9"/>
      <c r="M14" s="10"/>
      <c r="N14" s="10">
        <v>900</v>
      </c>
      <c r="O14" s="10"/>
      <c r="P14" s="10"/>
      <c r="Q14" s="10"/>
      <c r="R14" s="10"/>
      <c r="S14" s="10"/>
      <c r="T14" s="10"/>
      <c r="U14" s="10"/>
      <c r="V14" s="10"/>
      <c r="W14" s="17"/>
      <c r="X14" s="62">
        <f>SUM(L14:W14)</f>
        <v>900</v>
      </c>
      <c r="Y14" s="84">
        <f>SUM(C14:W14)</f>
        <v>3600</v>
      </c>
    </row>
    <row r="15" spans="1:25" ht="13.5" customHeight="1" thickBot="1">
      <c r="A15" s="36" t="s">
        <v>34</v>
      </c>
      <c r="B15" s="31" t="s">
        <v>59</v>
      </c>
      <c r="C15" s="48"/>
      <c r="D15" s="49">
        <v>26097.02</v>
      </c>
      <c r="E15" s="73">
        <v>23288.79</v>
      </c>
      <c r="F15" s="49">
        <v>4550.67</v>
      </c>
      <c r="G15" s="49">
        <v>5697.86</v>
      </c>
      <c r="H15" s="49">
        <f>2779.13+9146.64</f>
        <v>11925.77</v>
      </c>
      <c r="I15" s="73">
        <v>-7935.24</v>
      </c>
      <c r="J15" s="49">
        <v>10505.67</v>
      </c>
      <c r="K15" s="49">
        <v>12181.11</v>
      </c>
      <c r="L15" s="9">
        <v>225</v>
      </c>
      <c r="M15" s="10">
        <v>60</v>
      </c>
      <c r="N15" s="10">
        <v>45</v>
      </c>
      <c r="O15" s="10">
        <v>762</v>
      </c>
      <c r="P15" s="10">
        <v>60</v>
      </c>
      <c r="Q15" s="10">
        <v>45</v>
      </c>
      <c r="R15" s="10">
        <v>115</v>
      </c>
      <c r="S15" s="10">
        <v>60</v>
      </c>
      <c r="T15" s="10"/>
      <c r="U15" s="10">
        <v>3185</v>
      </c>
      <c r="V15" s="10">
        <v>920</v>
      </c>
      <c r="W15" s="17"/>
      <c r="X15" s="62">
        <f t="shared" si="3"/>
        <v>5477</v>
      </c>
      <c r="Y15" s="84">
        <f t="shared" si="4"/>
        <v>91788.65000000001</v>
      </c>
    </row>
    <row r="16" spans="1:25" ht="24" customHeight="1" thickBot="1">
      <c r="A16" s="36" t="s">
        <v>35</v>
      </c>
      <c r="B16" s="31" t="s">
        <v>51</v>
      </c>
      <c r="C16" s="48"/>
      <c r="D16" s="49">
        <v>0</v>
      </c>
      <c r="E16" s="73">
        <v>1400</v>
      </c>
      <c r="F16" s="49">
        <v>256</v>
      </c>
      <c r="G16" s="49">
        <v>0</v>
      </c>
      <c r="H16" s="49">
        <v>684.36</v>
      </c>
      <c r="I16" s="73">
        <v>52.96</v>
      </c>
      <c r="J16" s="49">
        <v>1086</v>
      </c>
      <c r="K16" s="49">
        <v>214.12</v>
      </c>
      <c r="L16" s="9">
        <v>14</v>
      </c>
      <c r="M16" s="10">
        <v>78</v>
      </c>
      <c r="N16" s="10"/>
      <c r="O16" s="10"/>
      <c r="P16" s="10"/>
      <c r="Q16" s="10"/>
      <c r="R16" s="10"/>
      <c r="S16" s="10"/>
      <c r="T16" s="10"/>
      <c r="U16" s="10"/>
      <c r="V16" s="10"/>
      <c r="W16" s="17"/>
      <c r="X16" s="62">
        <f t="shared" si="3"/>
        <v>92</v>
      </c>
      <c r="Y16" s="84">
        <f t="shared" si="4"/>
        <v>3785.44</v>
      </c>
    </row>
    <row r="17" spans="1:25" ht="12" customHeight="1" thickBot="1">
      <c r="A17" s="36" t="s">
        <v>36</v>
      </c>
      <c r="B17" s="31" t="s">
        <v>73</v>
      </c>
      <c r="C17" s="48"/>
      <c r="D17" s="49">
        <v>3570.78</v>
      </c>
      <c r="E17" s="73">
        <v>3033.62</v>
      </c>
      <c r="F17" s="49">
        <v>1300.56</v>
      </c>
      <c r="G17" s="49">
        <v>0</v>
      </c>
      <c r="H17" s="49"/>
      <c r="I17" s="73">
        <v>0</v>
      </c>
      <c r="J17" s="49">
        <v>0</v>
      </c>
      <c r="K17" s="49">
        <v>15184.06</v>
      </c>
      <c r="L17" s="9">
        <v>1423.08</v>
      </c>
      <c r="M17" s="9">
        <v>1423.08</v>
      </c>
      <c r="N17" s="9">
        <v>1423.08</v>
      </c>
      <c r="O17" s="9">
        <v>1423.08</v>
      </c>
      <c r="P17" s="9">
        <v>1423.08</v>
      </c>
      <c r="Q17" s="9">
        <v>1423.08</v>
      </c>
      <c r="R17" s="10">
        <v>1493.56</v>
      </c>
      <c r="S17" s="10"/>
      <c r="T17" s="10"/>
      <c r="U17" s="10"/>
      <c r="V17" s="10"/>
      <c r="W17" s="17"/>
      <c r="X17" s="62">
        <f t="shared" si="3"/>
        <v>10032.039999999999</v>
      </c>
      <c r="Y17" s="84">
        <f t="shared" si="4"/>
        <v>33121.060000000005</v>
      </c>
    </row>
    <row r="18" spans="1:25" ht="12" customHeight="1" thickBot="1">
      <c r="A18" s="36"/>
      <c r="B18" s="31" t="s">
        <v>75</v>
      </c>
      <c r="C18" s="48"/>
      <c r="D18" s="49"/>
      <c r="E18" s="73"/>
      <c r="F18" s="49"/>
      <c r="G18" s="49"/>
      <c r="H18" s="49"/>
      <c r="I18" s="73"/>
      <c r="J18" s="49"/>
      <c r="K18" s="49">
        <v>1071.83</v>
      </c>
      <c r="L18" s="9">
        <v>112.27</v>
      </c>
      <c r="M18" s="9">
        <v>112.27</v>
      </c>
      <c r="N18" s="9">
        <v>112.27</v>
      </c>
      <c r="O18" s="9">
        <v>112.27</v>
      </c>
      <c r="P18" s="9">
        <v>112.27</v>
      </c>
      <c r="Q18" s="9">
        <v>112.27</v>
      </c>
      <c r="R18" s="10">
        <v>112.96</v>
      </c>
      <c r="S18" s="10">
        <v>112.96</v>
      </c>
      <c r="T18" s="10">
        <v>112.96</v>
      </c>
      <c r="U18" s="10">
        <v>112.96</v>
      </c>
      <c r="V18" s="10">
        <v>112.96</v>
      </c>
      <c r="W18" s="17">
        <v>112.96</v>
      </c>
      <c r="X18" s="62">
        <f>SUM(L18:W18)</f>
        <v>1351.38</v>
      </c>
      <c r="Y18" s="84">
        <f>SUM(C18:W18)</f>
        <v>2423.21</v>
      </c>
    </row>
    <row r="19" spans="1:25" ht="12" customHeight="1" thickBot="1">
      <c r="A19" s="36"/>
      <c r="B19" s="31" t="s">
        <v>74</v>
      </c>
      <c r="C19" s="48"/>
      <c r="D19" s="49"/>
      <c r="E19" s="73"/>
      <c r="F19" s="49"/>
      <c r="G19" s="49"/>
      <c r="H19" s="49"/>
      <c r="I19" s="73"/>
      <c r="J19" s="49"/>
      <c r="K19" s="49">
        <v>3412.19</v>
      </c>
      <c r="L19" s="9">
        <v>274.16</v>
      </c>
      <c r="M19" s="9">
        <v>273.79</v>
      </c>
      <c r="N19" s="9">
        <v>273.79</v>
      </c>
      <c r="O19" s="9">
        <v>273.79</v>
      </c>
      <c r="P19" s="9">
        <v>273.79</v>
      </c>
      <c r="Q19" s="9">
        <v>273.79</v>
      </c>
      <c r="R19" s="10">
        <v>117.3</v>
      </c>
      <c r="S19" s="10">
        <v>117.3</v>
      </c>
      <c r="T19" s="10">
        <v>283.08</v>
      </c>
      <c r="U19" s="10">
        <v>283.08</v>
      </c>
      <c r="V19" s="10">
        <v>283.08</v>
      </c>
      <c r="W19" s="17"/>
      <c r="X19" s="62">
        <f>SUM(L19:W19)</f>
        <v>2726.95</v>
      </c>
      <c r="Y19" s="84">
        <f>SUM(C19:W19)</f>
        <v>6139.14</v>
      </c>
    </row>
    <row r="20" spans="1:25" ht="12" customHeight="1" thickBot="1">
      <c r="A20" s="36"/>
      <c r="B20" s="31" t="s">
        <v>76</v>
      </c>
      <c r="C20" s="48"/>
      <c r="D20" s="49"/>
      <c r="E20" s="73"/>
      <c r="F20" s="49"/>
      <c r="G20" s="49"/>
      <c r="H20" s="49"/>
      <c r="I20" s="73"/>
      <c r="J20" s="49"/>
      <c r="K20" s="49">
        <v>691.71</v>
      </c>
      <c r="L20" s="9">
        <v>99.15</v>
      </c>
      <c r="M20" s="9">
        <v>99.15</v>
      </c>
      <c r="N20" s="9">
        <v>99.15</v>
      </c>
      <c r="O20" s="9">
        <v>99.15</v>
      </c>
      <c r="P20" s="9">
        <v>99.15</v>
      </c>
      <c r="Q20" s="9">
        <v>99.15</v>
      </c>
      <c r="R20" s="10">
        <v>100</v>
      </c>
      <c r="S20" s="10">
        <v>100</v>
      </c>
      <c r="T20" s="10">
        <v>100</v>
      </c>
      <c r="U20" s="10">
        <v>100</v>
      </c>
      <c r="V20" s="10">
        <v>100</v>
      </c>
      <c r="W20" s="17">
        <v>100</v>
      </c>
      <c r="X20" s="62">
        <f>SUM(L20:W20)</f>
        <v>1194.9</v>
      </c>
      <c r="Y20" s="84">
        <f>SUM(C20:W20)</f>
        <v>1886.6100000000001</v>
      </c>
    </row>
    <row r="21" spans="1:25" ht="13.5" customHeight="1" thickBot="1">
      <c r="A21" s="36" t="s">
        <v>37</v>
      </c>
      <c r="B21" s="31" t="s">
        <v>6</v>
      </c>
      <c r="C21" s="48"/>
      <c r="D21" s="49">
        <v>1625.55</v>
      </c>
      <c r="E21" s="73">
        <v>392.99</v>
      </c>
      <c r="F21" s="49">
        <v>631.75</v>
      </c>
      <c r="G21" s="49">
        <v>565.81</v>
      </c>
      <c r="H21" s="49">
        <v>662.25</v>
      </c>
      <c r="I21" s="73">
        <v>752.55</v>
      </c>
      <c r="J21" s="49">
        <v>532.17</v>
      </c>
      <c r="K21" s="49">
        <v>773.36</v>
      </c>
      <c r="L21" s="9"/>
      <c r="M21" s="10"/>
      <c r="N21" s="10">
        <v>178.12</v>
      </c>
      <c r="O21" s="10"/>
      <c r="P21" s="10"/>
      <c r="Q21" s="10">
        <v>151.13</v>
      </c>
      <c r="R21" s="10"/>
      <c r="S21" s="10"/>
      <c r="T21" s="10">
        <v>161.92</v>
      </c>
      <c r="U21" s="10"/>
      <c r="V21" s="10"/>
      <c r="W21" s="17">
        <v>129.54</v>
      </c>
      <c r="X21" s="62">
        <f t="shared" si="3"/>
        <v>620.7099999999999</v>
      </c>
      <c r="Y21" s="84">
        <f t="shared" si="4"/>
        <v>6557.139999999999</v>
      </c>
    </row>
    <row r="22" spans="1:25" ht="23.25" customHeight="1" thickBot="1">
      <c r="A22" s="36" t="s">
        <v>38</v>
      </c>
      <c r="B22" s="31" t="s">
        <v>77</v>
      </c>
      <c r="C22" s="48"/>
      <c r="D22" s="49">
        <v>1814.51</v>
      </c>
      <c r="E22" s="73">
        <v>6604.27</v>
      </c>
      <c r="F22" s="49">
        <v>8827.91</v>
      </c>
      <c r="G22" s="49">
        <v>9902.61</v>
      </c>
      <c r="H22" s="49">
        <v>5849.82</v>
      </c>
      <c r="I22" s="73">
        <v>6921.87</v>
      </c>
      <c r="J22" s="49">
        <v>7367.54</v>
      </c>
      <c r="K22" s="49">
        <v>7501.96</v>
      </c>
      <c r="L22" s="9">
        <v>655.83</v>
      </c>
      <c r="M22" s="10">
        <v>601.65</v>
      </c>
      <c r="N22" s="10">
        <v>802.37</v>
      </c>
      <c r="O22" s="10">
        <v>625.69</v>
      </c>
      <c r="P22" s="10">
        <v>526.25</v>
      </c>
      <c r="Q22" s="10">
        <v>762.74</v>
      </c>
      <c r="R22" s="10">
        <v>620.43</v>
      </c>
      <c r="S22" s="10">
        <v>634.49</v>
      </c>
      <c r="T22" s="10">
        <v>521.47</v>
      </c>
      <c r="U22" s="10">
        <v>782.78</v>
      </c>
      <c r="V22" s="10">
        <v>692.76</v>
      </c>
      <c r="W22" s="17">
        <v>675.8</v>
      </c>
      <c r="X22" s="62">
        <f t="shared" si="3"/>
        <v>7902.26</v>
      </c>
      <c r="Y22" s="84">
        <f t="shared" si="4"/>
        <v>62692.750000000015</v>
      </c>
    </row>
    <row r="23" spans="1:25" ht="27" customHeight="1" thickBot="1">
      <c r="A23" s="36" t="s">
        <v>39</v>
      </c>
      <c r="B23" s="31" t="s">
        <v>65</v>
      </c>
      <c r="C23" s="48"/>
      <c r="D23" s="49">
        <v>3194.02</v>
      </c>
      <c r="E23" s="73">
        <v>3858.7</v>
      </c>
      <c r="F23" s="49">
        <v>1106.04</v>
      </c>
      <c r="G23" s="49">
        <v>806.25</v>
      </c>
      <c r="H23" s="49">
        <v>1758.28</v>
      </c>
      <c r="I23" s="73">
        <v>1192.92</v>
      </c>
      <c r="J23" s="49">
        <v>1048.23</v>
      </c>
      <c r="K23" s="49">
        <v>820.46</v>
      </c>
      <c r="L23" s="9">
        <v>64.82</v>
      </c>
      <c r="M23" s="10">
        <v>43.52</v>
      </c>
      <c r="N23" s="10">
        <v>30.9</v>
      </c>
      <c r="O23" s="10">
        <v>43.42</v>
      </c>
      <c r="P23" s="10">
        <v>40.32</v>
      </c>
      <c r="Q23" s="10">
        <v>48.08</v>
      </c>
      <c r="R23" s="10">
        <v>147</v>
      </c>
      <c r="S23" s="10">
        <v>37.65</v>
      </c>
      <c r="T23" s="10">
        <v>46.61</v>
      </c>
      <c r="U23" s="10">
        <v>40.36</v>
      </c>
      <c r="V23" s="10">
        <v>193.21</v>
      </c>
      <c r="W23" s="17">
        <v>61.36</v>
      </c>
      <c r="X23" s="62">
        <f t="shared" si="3"/>
        <v>797.25</v>
      </c>
      <c r="Y23" s="84">
        <f t="shared" si="4"/>
        <v>14582.149999999998</v>
      </c>
    </row>
    <row r="24" spans="1:25" ht="33" customHeight="1" thickBot="1">
      <c r="A24" s="36" t="s">
        <v>40</v>
      </c>
      <c r="B24" s="31" t="s">
        <v>66</v>
      </c>
      <c r="C24" s="48"/>
      <c r="D24" s="49">
        <v>3795.76</v>
      </c>
      <c r="E24" s="73">
        <v>10213.74</v>
      </c>
      <c r="F24" s="49">
        <v>5783.66</v>
      </c>
      <c r="G24" s="49">
        <v>7911.31</v>
      </c>
      <c r="H24" s="49">
        <v>6828.53</v>
      </c>
      <c r="I24" s="73">
        <v>8883.4</v>
      </c>
      <c r="J24" s="49">
        <v>7562.99</v>
      </c>
      <c r="K24" s="49">
        <v>8091.66</v>
      </c>
      <c r="L24" s="9">
        <f>32.44+232.02+358.44</f>
        <v>622.9000000000001</v>
      </c>
      <c r="M24" s="10">
        <f>340.31+35.55+313.88</f>
        <v>689.74</v>
      </c>
      <c r="N24" s="10">
        <f>344.68+35.24+340.64</f>
        <v>720.56</v>
      </c>
      <c r="O24" s="10">
        <f>363.09+35.72+265.37</f>
        <v>664.18</v>
      </c>
      <c r="P24" s="10">
        <f>440.23+32.09+207.09</f>
        <v>679.4100000000001</v>
      </c>
      <c r="Q24" s="10">
        <f>353.55+30.1+197.61</f>
        <v>581.26</v>
      </c>
      <c r="R24" s="10">
        <f>33.87+229.63+446.16</f>
        <v>709.6600000000001</v>
      </c>
      <c r="S24" s="10">
        <f>35.96+348.96+345.88</f>
        <v>730.8</v>
      </c>
      <c r="T24" s="10">
        <f>402.98+28.29+269.88</f>
        <v>701.1500000000001</v>
      </c>
      <c r="U24" s="10">
        <f>37.77+485.67+392.83</f>
        <v>916.27</v>
      </c>
      <c r="V24" s="10">
        <f>30.98+271.18+563.34</f>
        <v>865.5</v>
      </c>
      <c r="W24" s="17">
        <f>511+35.79+458.47</f>
        <v>1005.26</v>
      </c>
      <c r="X24" s="62">
        <f t="shared" si="3"/>
        <v>8886.69</v>
      </c>
      <c r="Y24" s="84">
        <f t="shared" si="4"/>
        <v>67957.74</v>
      </c>
    </row>
    <row r="25" spans="1:25" ht="14.25" customHeight="1" thickBot="1">
      <c r="A25" s="36" t="s">
        <v>57</v>
      </c>
      <c r="B25" s="31" t="s">
        <v>10</v>
      </c>
      <c r="C25" s="48"/>
      <c r="D25" s="49">
        <v>33867.13</v>
      </c>
      <c r="E25" s="73">
        <v>55787.46</v>
      </c>
      <c r="F25" s="49">
        <v>72422.24</v>
      </c>
      <c r="G25" s="49">
        <v>85524.25</v>
      </c>
      <c r="H25" s="49">
        <v>80295.87</v>
      </c>
      <c r="I25" s="73">
        <v>87821</v>
      </c>
      <c r="J25" s="49">
        <v>78677.23</v>
      </c>
      <c r="K25" s="49">
        <v>74270.84</v>
      </c>
      <c r="L25" s="9">
        <f>14723.94-7441.81-500</f>
        <v>6782.13</v>
      </c>
      <c r="M25" s="10">
        <f>15232.85-8286.08</f>
        <v>6946.77</v>
      </c>
      <c r="N25" s="10">
        <f>16337.92-9772.2</f>
        <v>6565.719999999999</v>
      </c>
      <c r="O25" s="10">
        <f>17654.98-9481.07-2400+500</f>
        <v>6273.91</v>
      </c>
      <c r="P25" s="10">
        <f>1629.08+329.03+948.43+3654.76+0.44</f>
        <v>6561.74</v>
      </c>
      <c r="Q25" s="10">
        <f>13683.33-7171.45</f>
        <v>6511.88</v>
      </c>
      <c r="R25" s="10">
        <f>13919.23-7013.42</f>
        <v>6905.8099999999995</v>
      </c>
      <c r="S25" s="10">
        <f>12221.04-5445.61</f>
        <v>6775.430000000001</v>
      </c>
      <c r="T25" s="10">
        <f>11546.02-5458.39+500</f>
        <v>6587.63</v>
      </c>
      <c r="U25" s="10">
        <f>15137.44-8917.43</f>
        <v>6220.01</v>
      </c>
      <c r="V25" s="10">
        <f>13761.62-6518.14-500</f>
        <v>6743.4800000000005</v>
      </c>
      <c r="W25" s="17">
        <f>22661.36-16382.68-12.99</f>
        <v>6265.6900000000005</v>
      </c>
      <c r="X25" s="62">
        <f t="shared" si="3"/>
        <v>79140.2</v>
      </c>
      <c r="Y25" s="84">
        <f t="shared" si="4"/>
        <v>647806.2200000001</v>
      </c>
    </row>
    <row r="26" spans="1:25" ht="13.5" customHeight="1" thickBot="1">
      <c r="A26" s="36" t="s">
        <v>58</v>
      </c>
      <c r="B26" s="32" t="s">
        <v>3</v>
      </c>
      <c r="C26" s="50"/>
      <c r="D26" s="51">
        <v>4887.82</v>
      </c>
      <c r="E26" s="74">
        <v>9549.99</v>
      </c>
      <c r="F26" s="51">
        <v>5975.43</v>
      </c>
      <c r="G26" s="51">
        <v>5583.56</v>
      </c>
      <c r="H26" s="51">
        <v>5465.36</v>
      </c>
      <c r="I26" s="74">
        <v>5594.76</v>
      </c>
      <c r="J26" s="51">
        <v>5933.09</v>
      </c>
      <c r="K26" s="51">
        <v>6648.9</v>
      </c>
      <c r="L26" s="11">
        <f>56.65+474.52</f>
        <v>531.17</v>
      </c>
      <c r="M26" s="12">
        <f>67.62+562.22</f>
        <v>629.84</v>
      </c>
      <c r="N26" s="12">
        <f>60.77+506.69</f>
        <v>567.46</v>
      </c>
      <c r="O26" s="12">
        <f>56.42+472.57</f>
        <v>528.99</v>
      </c>
      <c r="P26" s="12">
        <f>57.73+477.62</f>
        <v>535.35</v>
      </c>
      <c r="Q26" s="12">
        <f>61.7+514.69</f>
        <v>576.3900000000001</v>
      </c>
      <c r="R26" s="12">
        <f>57.23+476.42</f>
        <v>533.65</v>
      </c>
      <c r="S26" s="12">
        <f>65.36+527.16</f>
        <v>592.52</v>
      </c>
      <c r="T26" s="12">
        <f>10.53+525.18</f>
        <v>535.7099999999999</v>
      </c>
      <c r="U26" s="12">
        <f>6.69+474.36</f>
        <v>481.05</v>
      </c>
      <c r="V26" s="12">
        <f>6.8+471.23</f>
        <v>478.03000000000003</v>
      </c>
      <c r="W26" s="19">
        <f>7.59+572.75</f>
        <v>580.34</v>
      </c>
      <c r="X26" s="62">
        <f t="shared" si="3"/>
        <v>6570.5</v>
      </c>
      <c r="Y26" s="84">
        <f t="shared" si="4"/>
        <v>56209.40999999998</v>
      </c>
    </row>
    <row r="27" spans="1:25" ht="13.5" customHeight="1" thickBot="1">
      <c r="A27" s="36"/>
      <c r="B27" s="43" t="s">
        <v>62</v>
      </c>
      <c r="C27" s="76"/>
      <c r="D27" s="77"/>
      <c r="E27" s="78"/>
      <c r="F27" s="77"/>
      <c r="G27" s="77"/>
      <c r="H27" s="79">
        <f>H7*5%</f>
        <v>7254.832000000001</v>
      </c>
      <c r="I27" s="87">
        <f>I7*5%</f>
        <v>7602.27</v>
      </c>
      <c r="J27" s="80">
        <f>J7*5%</f>
        <v>8234.425500000001</v>
      </c>
      <c r="K27" s="80">
        <f>K7*5%</f>
        <v>8019.837500000001</v>
      </c>
      <c r="L27" s="79">
        <f>L7*5%</f>
        <v>669.875</v>
      </c>
      <c r="M27" s="79">
        <f aca="true" t="shared" si="5" ref="M27:W27">M7*5%</f>
        <v>669.875</v>
      </c>
      <c r="N27" s="79">
        <f t="shared" si="5"/>
        <v>669.875</v>
      </c>
      <c r="O27" s="79">
        <f t="shared" si="5"/>
        <v>669.875</v>
      </c>
      <c r="P27" s="79">
        <f t="shared" si="5"/>
        <v>669.875</v>
      </c>
      <c r="Q27" s="79">
        <f t="shared" si="5"/>
        <v>669.875</v>
      </c>
      <c r="R27" s="79">
        <f t="shared" si="5"/>
        <v>669.875</v>
      </c>
      <c r="S27" s="79">
        <f t="shared" si="5"/>
        <v>669.875</v>
      </c>
      <c r="T27" s="79">
        <f t="shared" si="5"/>
        <v>669.875</v>
      </c>
      <c r="U27" s="79">
        <f t="shared" si="5"/>
        <v>669.875</v>
      </c>
      <c r="V27" s="79">
        <f t="shared" si="5"/>
        <v>669.875</v>
      </c>
      <c r="W27" s="79">
        <f t="shared" si="5"/>
        <v>669.875</v>
      </c>
      <c r="X27" s="80">
        <f t="shared" si="3"/>
        <v>8038.5</v>
      </c>
      <c r="Y27" s="85"/>
    </row>
    <row r="28" spans="1:25" ht="16.5" customHeight="1" thickBot="1">
      <c r="A28" s="36" t="s">
        <v>41</v>
      </c>
      <c r="B28" s="64" t="s">
        <v>54</v>
      </c>
      <c r="C28" s="65"/>
      <c r="D28" s="66"/>
      <c r="E28" s="75"/>
      <c r="F28" s="66"/>
      <c r="G28" s="66"/>
      <c r="H28" s="66"/>
      <c r="I28" s="75"/>
      <c r="J28" s="66"/>
      <c r="K28" s="92">
        <f aca="true" t="shared" si="6" ref="K28:W28">SUM(K7+K8+K9-K10)-K27</f>
        <v>8739.242499999957</v>
      </c>
      <c r="L28" s="81">
        <f t="shared" si="6"/>
        <v>1000.3549999999996</v>
      </c>
      <c r="M28" s="81">
        <f t="shared" si="6"/>
        <v>-8.555000000000291</v>
      </c>
      <c r="N28" s="81">
        <f t="shared" si="6"/>
        <v>-1113.6249999999982</v>
      </c>
      <c r="O28" s="81">
        <f t="shared" si="6"/>
        <v>-530.6849999999995</v>
      </c>
      <c r="P28" s="81">
        <f t="shared" si="6"/>
        <v>820.6150000000016</v>
      </c>
      <c r="Q28" s="81">
        <f t="shared" si="6"/>
        <v>1540.965000000002</v>
      </c>
      <c r="R28" s="81">
        <f t="shared" si="6"/>
        <v>1382.2350000000006</v>
      </c>
      <c r="S28" s="81">
        <f t="shared" si="6"/>
        <v>1586.8649999999998</v>
      </c>
      <c r="T28" s="81">
        <f t="shared" si="6"/>
        <v>1761.8850000000002</v>
      </c>
      <c r="U28" s="81">
        <f t="shared" si="6"/>
        <v>-1329.534999999998</v>
      </c>
      <c r="V28" s="81">
        <f t="shared" si="6"/>
        <v>546.2849999999999</v>
      </c>
      <c r="W28" s="81">
        <f t="shared" si="6"/>
        <v>-8840.464999999998</v>
      </c>
      <c r="X28" s="80">
        <f t="shared" si="3"/>
        <v>-3183.6599999999908</v>
      </c>
      <c r="Y28" s="85"/>
    </row>
    <row r="29" spans="1:25" ht="21" customHeight="1" thickBot="1">
      <c r="A29" s="93" t="s">
        <v>42</v>
      </c>
      <c r="B29" s="101" t="s">
        <v>24</v>
      </c>
      <c r="C29" s="102">
        <v>6252.29</v>
      </c>
      <c r="D29" s="103">
        <v>353.78</v>
      </c>
      <c r="E29" s="104">
        <f>SUM(E7-E10)</f>
        <v>219.4100000000035</v>
      </c>
      <c r="F29" s="105">
        <f>SUM(F7-F10)</f>
        <v>8472.140000000014</v>
      </c>
      <c r="G29" s="105">
        <f>SUM(G7-G10)</f>
        <v>-17198.889999999985</v>
      </c>
      <c r="H29" s="106">
        <f>SUM(H7-H10)-H27</f>
        <v>-14850.39199999997</v>
      </c>
      <c r="I29" s="107">
        <f>SUM(I7-I10)-I27</f>
        <v>-2397.680000000004</v>
      </c>
      <c r="J29" s="108">
        <f>SUM(J7-J10)-J27</f>
        <v>-3024.535499999958</v>
      </c>
      <c r="K29" s="108">
        <f>SUM(K7+K8+K9-K10)-K27</f>
        <v>8739.242499999957</v>
      </c>
      <c r="L29" s="109">
        <f>SUM(L7+L8+L9-L10)-L27</f>
        <v>1000.3549999999996</v>
      </c>
      <c r="M29" s="110">
        <f>SUM(M28+L29)</f>
        <v>991.7999999999993</v>
      </c>
      <c r="N29" s="110">
        <f aca="true" t="shared" si="7" ref="N29:W29">SUM(N28+M29)</f>
        <v>-121.82499999999891</v>
      </c>
      <c r="O29" s="110">
        <f t="shared" si="7"/>
        <v>-652.5099999999984</v>
      </c>
      <c r="P29" s="110">
        <f t="shared" si="7"/>
        <v>168.1050000000032</v>
      </c>
      <c r="Q29" s="110">
        <f t="shared" si="7"/>
        <v>1709.0700000000052</v>
      </c>
      <c r="R29" s="110">
        <f t="shared" si="7"/>
        <v>3091.3050000000057</v>
      </c>
      <c r="S29" s="110">
        <f t="shared" si="7"/>
        <v>4678.1700000000055</v>
      </c>
      <c r="T29" s="110">
        <f t="shared" si="7"/>
        <v>6440.055000000006</v>
      </c>
      <c r="U29" s="110">
        <f t="shared" si="7"/>
        <v>5110.520000000008</v>
      </c>
      <c r="V29" s="110">
        <f t="shared" si="7"/>
        <v>5656.805000000008</v>
      </c>
      <c r="W29" s="110">
        <f t="shared" si="7"/>
        <v>-3183.6599999999908</v>
      </c>
      <c r="X29" s="105"/>
      <c r="Y29" s="111"/>
    </row>
    <row r="30" spans="1:25" ht="0.75" customHeight="1" thickBot="1">
      <c r="A30" s="36" t="s">
        <v>43</v>
      </c>
      <c r="B30" s="52" t="s">
        <v>25</v>
      </c>
      <c r="C30" s="39">
        <v>6252.29</v>
      </c>
      <c r="D30" s="43">
        <v>6606.07</v>
      </c>
      <c r="E30" s="18">
        <f>SUM(E7-E10,D30)</f>
        <v>6825.480000000003</v>
      </c>
      <c r="F30" s="62">
        <f>SUM(F7-F10,E30)</f>
        <v>15297.620000000017</v>
      </c>
      <c r="G30" s="62">
        <f>SUM(G7-G10,F30)</f>
        <v>-1901.2699999999677</v>
      </c>
      <c r="H30" s="79">
        <f>SUM(H29+G30)</f>
        <v>-16751.66199999994</v>
      </c>
      <c r="I30" s="87">
        <f>SUM(I29+H30)</f>
        <v>-19149.341999999942</v>
      </c>
      <c r="J30" s="80">
        <f>SUM(J29+I30)</f>
        <v>-22173.8774999999</v>
      </c>
      <c r="K30" s="80">
        <f>SUM(K29+J30)</f>
        <v>-13434.634999999944</v>
      </c>
      <c r="L30" s="80">
        <f>SUM(L29+K30)</f>
        <v>-12434.279999999944</v>
      </c>
      <c r="M30" s="82">
        <f>SUM(M28+L30)</f>
        <v>-12442.834999999945</v>
      </c>
      <c r="N30" s="82">
        <f aca="true" t="shared" si="8" ref="N30:V30">SUM(N28+M30)</f>
        <v>-13556.459999999943</v>
      </c>
      <c r="O30" s="82">
        <f t="shared" si="8"/>
        <v>-14087.144999999942</v>
      </c>
      <c r="P30" s="82">
        <f t="shared" si="8"/>
        <v>-13266.52999999994</v>
      </c>
      <c r="Q30" s="82">
        <f t="shared" si="8"/>
        <v>-11725.564999999939</v>
      </c>
      <c r="R30" s="82">
        <f t="shared" si="8"/>
        <v>-10343.329999999938</v>
      </c>
      <c r="S30" s="82">
        <f t="shared" si="8"/>
        <v>-8756.464999999938</v>
      </c>
      <c r="T30" s="82">
        <f t="shared" si="8"/>
        <v>-6994.579999999938</v>
      </c>
      <c r="U30" s="82">
        <f t="shared" si="8"/>
        <v>-8324.114999999936</v>
      </c>
      <c r="V30" s="82">
        <f t="shared" si="8"/>
        <v>-7777.829999999936</v>
      </c>
      <c r="W30" s="82">
        <f>SUM(W28+V30)</f>
        <v>-16618.294999999933</v>
      </c>
      <c r="X30" s="62"/>
      <c r="Y30" s="55"/>
    </row>
    <row r="31" spans="1:25" ht="8.25" customHeight="1" hidden="1" thickBot="1">
      <c r="A31" s="36" t="s">
        <v>44</v>
      </c>
      <c r="B31" s="52" t="s">
        <v>8</v>
      </c>
      <c r="C31" s="40"/>
      <c r="D31" s="44"/>
      <c r="E31" s="44"/>
      <c r="F31" s="40"/>
      <c r="G31" s="40"/>
      <c r="H31" s="40"/>
      <c r="I31" s="40"/>
      <c r="J31" s="44"/>
      <c r="K31" s="40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0"/>
      <c r="X31" s="61"/>
      <c r="Y31" s="56"/>
    </row>
    <row r="32" spans="1:25" ht="15" customHeight="1" hidden="1" thickBot="1">
      <c r="A32" s="37" t="s">
        <v>45</v>
      </c>
      <c r="B32" s="33" t="s">
        <v>26</v>
      </c>
      <c r="C32" s="40"/>
      <c r="D32" s="44"/>
      <c r="E32" s="44"/>
      <c r="F32" s="40"/>
      <c r="G32" s="40"/>
      <c r="H32" s="40"/>
      <c r="I32" s="40"/>
      <c r="J32" s="44"/>
      <c r="K32" s="40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0"/>
      <c r="X32" s="62"/>
      <c r="Y32" s="57"/>
    </row>
    <row r="33" spans="1:25" ht="24" customHeight="1" hidden="1" thickBot="1">
      <c r="A33" s="37" t="s">
        <v>48</v>
      </c>
      <c r="B33" s="34" t="s">
        <v>49</v>
      </c>
      <c r="C33" s="41"/>
      <c r="D33" s="45"/>
      <c r="E33" s="45"/>
      <c r="F33" s="41"/>
      <c r="G33" s="41"/>
      <c r="H33" s="41"/>
      <c r="I33" s="41"/>
      <c r="J33" s="45"/>
      <c r="K33" s="4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>
        <f>SUM(W29-W31)</f>
        <v>-3183.6599999999908</v>
      </c>
      <c r="X33" s="63"/>
      <c r="Y33" s="58"/>
    </row>
    <row r="34" spans="1:25" ht="22.5" customHeight="1" hidden="1" thickBot="1">
      <c r="A34" s="53" t="s">
        <v>52</v>
      </c>
      <c r="B34" s="34" t="s">
        <v>27</v>
      </c>
      <c r="C34" s="41"/>
      <c r="D34" s="45"/>
      <c r="E34" s="45"/>
      <c r="F34" s="41"/>
      <c r="G34" s="41"/>
      <c r="H34" s="41"/>
      <c r="I34" s="41"/>
      <c r="J34" s="45"/>
      <c r="K34" s="4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>
        <f>SUM(W30-W31)</f>
        <v>-16618.294999999933</v>
      </c>
      <c r="X34" s="63"/>
      <c r="Y34" s="58"/>
    </row>
    <row r="35" spans="3:25" ht="24" customHeight="1" hidden="1">
      <c r="C35" s="21"/>
      <c r="D35" s="21"/>
      <c r="E35" s="21"/>
      <c r="F35" s="21"/>
      <c r="G35" s="21"/>
      <c r="H35" s="21"/>
      <c r="I35" s="21"/>
      <c r="J35" s="88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</row>
    <row r="36" spans="10:11" ht="16.5" customHeight="1" hidden="1">
      <c r="J36" s="89"/>
      <c r="K36" s="91"/>
    </row>
    <row r="37" spans="10:11" ht="0.75" customHeight="1" hidden="1">
      <c r="J37" s="89"/>
      <c r="K37" s="91"/>
    </row>
    <row r="38" spans="10:11" ht="12.75" hidden="1">
      <c r="J38" s="89"/>
      <c r="K38" s="91"/>
    </row>
    <row r="39" spans="10:11" ht="12.75" hidden="1">
      <c r="J39" s="89"/>
      <c r="K39" s="91"/>
    </row>
    <row r="40" spans="2:11" ht="13.5" thickBot="1">
      <c r="B40" t="s">
        <v>55</v>
      </c>
      <c r="J40" s="90"/>
      <c r="K40" s="91"/>
    </row>
    <row r="44" ht="12.75" customHeight="1"/>
    <row r="45" ht="12.75" customHeight="1"/>
  </sheetData>
  <sheetProtection/>
  <mergeCells count="5">
    <mergeCell ref="B4:Y4"/>
    <mergeCell ref="B5:Y5"/>
    <mergeCell ref="B3:Y3"/>
    <mergeCell ref="B1:N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2019-02-11T10:42:04Z</cp:lastPrinted>
  <dcterms:created xsi:type="dcterms:W3CDTF">2011-06-16T11:06:26Z</dcterms:created>
  <dcterms:modified xsi:type="dcterms:W3CDTF">2019-02-14T05:30:06Z</dcterms:modified>
  <cp:category/>
  <cp:version/>
  <cp:contentType/>
  <cp:contentStatus/>
</cp:coreProperties>
</file>