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<sst xmlns="http://schemas.openxmlformats.org/spreadsheetml/2006/main" count="77" uniqueCount="76">
  <si>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</si>
  <si>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</si>
  <si>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</si>
  <si>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</si>
  <si>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</si>
  <si>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</si>
  <si>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</si>
  <si>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</si>
  <si>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</si>
  <si>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</si>
  <si>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</si>
  <si>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</si>
  <si>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</si>
  <si>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</si>
  <si>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</si>
  <si>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</si>
  <si>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</si>
  <si>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</si>
  <si>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</si>
  <si>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</si>
  <si>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</si>
  <si>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</si>
  <si>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</si>
  <si>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</si>
  <si>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</si>
  <si>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№</t>
  </si>
  <si>
    <t>1</t>
  </si>
  <si>
    <t>4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</si>
  <si>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</si>
  <si>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</si>
  <si>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</si>
  <si>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</si>
  <si>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</si>
  <si>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</si>
  <si>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</si>
  <si>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</si>
  <si>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</si>
  <si>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</si>
  <si>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</si>
  <si>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</si>
  <si>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</si>
  <si>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</si>
  <si>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</si>
  <si>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</si>
  <si>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</si>
  <si>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</si>
  <si>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по жилому дому г. Унеча ул. Первомайская д.2 А</t>
  </si>
  <si>
    <t>Итого за 2011 г</t>
  </si>
  <si>
    <t>Результат за месяц</t>
  </si>
  <si>
    <t>Исполнитель /Викторова Л.С./</t>
  </si>
  <si>
    <t>Дом по ул.Первомайская д.2 А  вступил в ООО "Наш дом" с ноября 2009 года                тариф 10,35 руб</t>
  </si>
  <si>
    <t>Итого за 2012 г</t>
  </si>
  <si>
    <t>Благоустройство территории</t>
  </si>
  <si>
    <t xml:space="preserve">Материалы </t>
  </si>
  <si>
    <t>4.13</t>
  </si>
  <si>
    <t>4.14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</si>
  <si>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</si>
  <si>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</si>
  <si>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</si>
  <si>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</si>
  <si>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</si>
  <si>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</si>
  <si>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</si>
  <si>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Проверка вент каналов</t>
  </si>
  <si>
    <t>4.4</t>
  </si>
  <si>
    <t>Итого за 2016 г</t>
  </si>
  <si>
    <t>Итого за 2017 г</t>
  </si>
  <si>
    <t>Начислено  СОИД</t>
  </si>
  <si>
    <t>Начислено   нежилые</t>
  </si>
  <si>
    <t>Электроэнергия СОИД</t>
  </si>
  <si>
    <t>Горячая вода СОИД</t>
  </si>
  <si>
    <t>Холодная вода СОИД</t>
  </si>
  <si>
    <t>Канализация СОИД</t>
  </si>
  <si>
    <t>Транспортные(ГСМ,зап.части,амортизация,страхован)</t>
  </si>
  <si>
    <t>Итого за 2018 г</t>
  </si>
  <si>
    <t>Всего за 2009-2018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</si>
</sst>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4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wrapText="1"/>
    </xf>
    <xf numFmtId="0" fontId="21" fillId="0" borderId="27" xfId="0" applyFont="1" applyBorder="1" applyAlignment="1">
      <alignment horizontal="left" wrapText="1"/>
    </xf>
    <xf numFmtId="49" fontId="21" fillId="0" borderId="26" xfId="0" applyNumberFormat="1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2" borderId="29" xfId="0" applyFont="1" applyFill="1" applyBorder="1" applyAlignment="1">
      <alignment wrapText="1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23" fillId="0" borderId="33" xfId="0" applyFont="1" applyBorder="1" applyAlignment="1">
      <alignment horizontal="left" vertical="center" wrapText="1"/>
    </xf>
    <xf numFmtId="0" fontId="21" fillId="0" borderId="24" xfId="0" applyFont="1" applyBorder="1" applyAlignment="1">
      <alignment wrapText="1"/>
    </xf>
    <xf numFmtId="0" fontId="21" fillId="2" borderId="24" xfId="0" applyFont="1" applyFill="1" applyBorder="1" applyAlignment="1">
      <alignment wrapText="1"/>
    </xf>
    <xf numFmtId="0" fontId="23" fillId="0" borderId="34" xfId="0" applyFont="1" applyBorder="1" applyAlignment="1">
      <alignment horizontal="left" vertical="center" wrapText="1"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2" borderId="35" xfId="0" applyFont="1" applyFill="1" applyBorder="1" applyAlignment="1">
      <alignment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1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2" xfId="0" applyNumberFormat="1" applyFont="1" applyBorder="1" applyAlignment="1">
      <alignment horizontal="right" wrapText="1"/>
    </xf>
    <xf numFmtId="0" fontId="25" fillId="0" borderId="25" xfId="0" applyFont="1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2" borderId="25" xfId="0" applyFill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5" xfId="0" applyFont="1" applyFill="1" applyBorder="1" applyAlignment="1">
      <alignment/>
    </xf>
    <xf numFmtId="0" fontId="21" fillId="0" borderId="40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0" fontId="26" fillId="0" borderId="36" xfId="0" applyFont="1" applyBorder="1" applyAlignment="1">
      <alignment wrapText="1"/>
    </xf>
    <xf numFmtId="0" fontId="26" fillId="0" borderId="30" xfId="0" applyFont="1" applyBorder="1" applyAlignment="1">
      <alignment wrapText="1"/>
    </xf>
    <xf numFmtId="0" fontId="19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0" fontId="19" fillId="0" borderId="33" xfId="0" applyFont="1" applyBorder="1" applyAlignment="1">
      <alignment horizontal="center" vertical="center" wrapText="1"/>
    </xf>
    <xf numFmtId="0" fontId="21" fillId="0" borderId="36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19" fillId="0" borderId="25" xfId="0" applyFont="1" applyBorder="1" applyAlignment="1">
      <alignment horizontal="center" vertical="center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0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2" fontId="21" fillId="0" borderId="24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0" fontId="23" fillId="0" borderId="34" xfId="0" applyFont="1" applyBorder="1" applyAlignment="1">
      <alignment horizontal="center" vertical="center" wrapText="1"/>
    </xf>
    <xf numFmtId="0" fontId="26" fillId="0" borderId="37" xfId="0" applyFont="1" applyBorder="1" applyAlignment="1">
      <alignment wrapText="1"/>
    </xf>
    <xf numFmtId="0" fontId="21" fillId="0" borderId="49" xfId="0" applyFont="1" applyBorder="1" applyAlignment="1">
      <alignment/>
    </xf>
    <xf numFmtId="2" fontId="21" fillId="0" borderId="50" xfId="0" applyNumberFormat="1" applyFont="1" applyBorder="1" applyAlignment="1">
      <alignment/>
    </xf>
    <xf numFmtId="0" fontId="20" fillId="2" borderId="41" xfId="0" applyFont="1" applyFill="1" applyBorder="1" applyAlignment="1">
      <alignment/>
    </xf>
    <xf numFmtId="49" fontId="0" fillId="0" borderId="51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21" fillId="0" borderId="24" xfId="0" applyFont="1" applyBorder="1" applyAlignment="1">
      <alignment/>
    </xf>
    <xf numFmtId="49" fontId="0" fillId="0" borderId="34" xfId="0" applyNumberFormat="1" applyBorder="1" applyAlignment="1">
      <alignment horizontal="center"/>
    </xf>
    <xf numFmtId="0" fontId="0" fillId="0" borderId="0" xfId="0" applyBorder="1" applyAlignment="1">
      <alignment/>
    </xf>
    <xf numFmtId="0" fontId="21" fillId="0" borderId="30" xfId="0" applyFont="1" applyBorder="1" applyAlignment="1">
      <alignment/>
    </xf>
    <xf numFmtId="0" fontId="21" fillId="0" borderId="37" xfId="0" applyFont="1" applyBorder="1" applyAlignment="1">
      <alignment/>
    </xf>
    <xf numFmtId="0" fontId="27" fillId="0" borderId="52" xfId="0" applyFont="1" applyBorder="1" applyAlignment="1">
      <alignment/>
    </xf>
    <xf numFmtId="2" fontId="27" fillId="0" borderId="25" xfId="0" applyNumberFormat="1" applyFont="1" applyBorder="1" applyAlignment="1">
      <alignment/>
    </xf>
    <xf numFmtId="2" fontId="27" fillId="0" borderId="53" xfId="0" applyNumberFormat="1" applyFont="1" applyBorder="1" applyAlignment="1">
      <alignment/>
    </xf>
    <xf numFmtId="2" fontId="21" fillId="0" borderId="41" xfId="0" applyNumberFormat="1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49" fontId="22" fillId="0" borderId="31" xfId="0" applyNumberFormat="1" applyFont="1" applyBorder="1" applyAlignment="1">
      <alignment horizontal="center"/>
    </xf>
    <xf numFmtId="0" fontId="19" fillId="0" borderId="25" xfId="0" applyFont="1" applyBorder="1" applyAlignment="1">
      <alignment wrapText="1"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25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25" xfId="0" applyFont="1" applyBorder="1" applyAlignment="1">
      <alignment wrapText="1"/>
    </xf>
    <xf numFmtId="0" fontId="28" fillId="0" borderId="33" xfId="0" applyFont="1" applyBorder="1" applyAlignment="1">
      <alignment wrapText="1"/>
    </xf>
    <xf numFmtId="0" fontId="28" fillId="0" borderId="34" xfId="0" applyFont="1" applyBorder="1" applyAlignment="1">
      <alignment wrapText="1"/>
    </xf>
    <xf numFmtId="2" fontId="28" fillId="0" borderId="34" xfId="0" applyNumberFormat="1" applyFont="1" applyBorder="1" applyAlignment="1">
      <alignment/>
    </xf>
    <xf numFmtId="2" fontId="28" fillId="0" borderId="33" xfId="0" applyNumberFormat="1" applyFont="1" applyBorder="1" applyAlignment="1">
      <alignment/>
    </xf>
    <xf numFmtId="2" fontId="28" fillId="0" borderId="42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30" fillId="0" borderId="3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zoomScalePageLayoutView="0" workbookViewId="0" topLeftCell="A7">
      <selection activeCell="Y30" sqref="Y30"/>
    </sheetView>
  </sheetViews>
  <sheetFormatPr defaultColWidth="9.00390625" defaultRowHeight="12.75"/>
  <cols>
    <col min="1" max="1" width="0.12890625" style="24" customWidth="1"/>
    <col min="2" max="2" width="22.00390625" style="0" customWidth="1"/>
    <col min="3" max="3" width="6.875" style="0" hidden="1" customWidth="1"/>
    <col min="4" max="4" width="8.25390625" style="0" hidden="1" customWidth="1"/>
    <col min="5" max="5" width="8.125" style="0" hidden="1" customWidth="1"/>
    <col min="6" max="6" width="10.00390625" style="0" hidden="1" customWidth="1"/>
    <col min="7" max="7" width="8.625" style="0" hidden="1" customWidth="1"/>
    <col min="8" max="8" width="9.125" style="0" hidden="1" customWidth="1"/>
    <col min="9" max="9" width="9.00390625" style="0" hidden="1" customWidth="1"/>
    <col min="10" max="10" width="10.00390625" style="0" hidden="1" customWidth="1"/>
    <col min="11" max="11" width="8.875" style="0" hidden="1" customWidth="1"/>
    <col min="12" max="12" width="8.75390625" style="0" customWidth="1"/>
    <col min="13" max="13" width="9.125" style="0" customWidth="1"/>
    <col min="14" max="14" width="8.625" style="0" customWidth="1"/>
    <col min="15" max="15" width="8.75390625" style="0" customWidth="1"/>
    <col min="16" max="16" width="8.875" style="0" customWidth="1"/>
    <col min="17" max="17" width="8.375" style="0" customWidth="1"/>
    <col min="18" max="18" width="8.25390625" style="0" customWidth="1"/>
    <col min="19" max="20" width="8.625" style="0" customWidth="1"/>
    <col min="21" max="21" width="9.00390625" style="0" customWidth="1"/>
    <col min="22" max="22" width="8.25390625" style="0" customWidth="1"/>
    <col min="23" max="23" width="8.875" style="0" customWidth="1"/>
    <col min="24" max="24" width="8.75390625" style="0" customWidth="1"/>
    <col min="25" max="25" width="10.375" style="0" customWidth="1"/>
  </cols>
  <sheetData>
    <row r="1" spans="2:30" ht="12.75" customHeight="1">
      <c r="B1" s="115" t="s">
        <v>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15" t="s">
        <v>50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4"/>
      <c r="W2" s="4"/>
      <c r="X2" s="4"/>
      <c r="Y2" s="4"/>
      <c r="Z2" s="4"/>
      <c r="AA2" s="4"/>
      <c r="AB2" s="4"/>
      <c r="AC2" s="4"/>
      <c r="AD2" s="4"/>
    </row>
    <row r="3" spans="2:30" ht="12.75" customHeight="1">
      <c r="B3" s="114" t="s">
        <v>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3"/>
      <c r="AA3" s="3"/>
      <c r="AB3" s="3"/>
      <c r="AC3" s="3"/>
      <c r="AD3" s="3"/>
    </row>
    <row r="4" spans="2:30" ht="13.5" customHeight="1">
      <c r="B4" s="113" t="s">
        <v>10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2"/>
      <c r="AA4" s="2"/>
      <c r="AB4" s="2"/>
      <c r="AC4" s="2"/>
      <c r="AD4" s="2"/>
    </row>
    <row r="5" spans="2:30" ht="14.25" customHeight="1" thickBot="1">
      <c r="B5" s="113" t="s">
        <v>46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2"/>
      <c r="AA5" s="2"/>
      <c r="AB5" s="2"/>
      <c r="AC5" s="2"/>
      <c r="AD5" s="2"/>
    </row>
    <row r="6" spans="2:30" ht="1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28.5" customHeight="1" thickBot="1">
      <c r="A7" s="33" t="s">
        <v>25</v>
      </c>
      <c r="B7" s="25" t="s">
        <v>7</v>
      </c>
      <c r="C7" s="36" t="s">
        <v>43</v>
      </c>
      <c r="D7" s="39" t="s">
        <v>44</v>
      </c>
      <c r="E7" s="62" t="s">
        <v>47</v>
      </c>
      <c r="F7" s="53" t="s">
        <v>51</v>
      </c>
      <c r="G7" s="53" t="s">
        <v>56</v>
      </c>
      <c r="H7" s="53" t="s">
        <v>57</v>
      </c>
      <c r="I7" s="53" t="s">
        <v>59</v>
      </c>
      <c r="J7" s="53" t="s">
        <v>65</v>
      </c>
      <c r="K7" s="53" t="s">
        <v>66</v>
      </c>
      <c r="L7" s="72" t="s">
        <v>11</v>
      </c>
      <c r="M7" s="68" t="s">
        <v>12</v>
      </c>
      <c r="N7" s="53" t="s">
        <v>13</v>
      </c>
      <c r="O7" s="6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20</v>
      </c>
      <c r="V7" s="5" t="s">
        <v>22</v>
      </c>
      <c r="W7" s="15" t="s">
        <v>21</v>
      </c>
      <c r="X7" s="53" t="s">
        <v>74</v>
      </c>
      <c r="Y7" s="82" t="s">
        <v>75</v>
      </c>
      <c r="Z7" s="1"/>
      <c r="AA7" s="1"/>
      <c r="AB7" s="1"/>
      <c r="AC7" s="1"/>
      <c r="AD7" s="1"/>
    </row>
    <row r="8" spans="1:25" ht="13.5" thickBot="1">
      <c r="A8" s="34" t="s">
        <v>26</v>
      </c>
      <c r="B8" s="26" t="s">
        <v>1</v>
      </c>
      <c r="C8" s="60">
        <v>80027.12</v>
      </c>
      <c r="D8" s="61">
        <v>479958.48</v>
      </c>
      <c r="E8" s="63">
        <v>532035.78</v>
      </c>
      <c r="F8" s="61">
        <v>541747</v>
      </c>
      <c r="G8" s="61">
        <v>541712.68</v>
      </c>
      <c r="H8" s="83">
        <v>541700.2</v>
      </c>
      <c r="I8" s="61">
        <v>541947.33</v>
      </c>
      <c r="J8" s="61">
        <v>542157.86</v>
      </c>
      <c r="K8" s="61">
        <v>540196.11</v>
      </c>
      <c r="L8" s="69">
        <v>45032.04</v>
      </c>
      <c r="M8" s="92">
        <v>45032.04</v>
      </c>
      <c r="N8" s="92">
        <v>45032.04</v>
      </c>
      <c r="O8" s="92">
        <v>45032.04</v>
      </c>
      <c r="P8" s="92">
        <v>45032.04</v>
      </c>
      <c r="Q8" s="92">
        <v>45032.04</v>
      </c>
      <c r="R8" s="8">
        <v>45032.04</v>
      </c>
      <c r="S8" s="8">
        <v>45022.72</v>
      </c>
      <c r="T8" s="8">
        <v>45022.72</v>
      </c>
      <c r="U8" s="8">
        <v>45022.72</v>
      </c>
      <c r="V8" s="8">
        <v>45022.72</v>
      </c>
      <c r="W8" s="8">
        <v>45023.75</v>
      </c>
      <c r="X8" s="92">
        <f>SUM(L8:W8)</f>
        <v>540338.9099999999</v>
      </c>
      <c r="Y8" s="94">
        <f>SUM(C8:W8)</f>
        <v>4881821.469999999</v>
      </c>
    </row>
    <row r="9" spans="1:25" ht="13.5" thickBot="1">
      <c r="A9" s="34"/>
      <c r="B9" s="26" t="s">
        <v>67</v>
      </c>
      <c r="C9" s="60"/>
      <c r="D9" s="83"/>
      <c r="E9" s="63"/>
      <c r="F9" s="83"/>
      <c r="G9" s="83"/>
      <c r="H9" s="83"/>
      <c r="I9" s="83"/>
      <c r="J9" s="83"/>
      <c r="K9" s="83">
        <v>57248.39</v>
      </c>
      <c r="L9" s="69">
        <f aca="true" t="shared" si="0" ref="L9:Q9">4655.5+142.97+207.95+636.25</f>
        <v>5642.67</v>
      </c>
      <c r="M9" s="93">
        <f t="shared" si="0"/>
        <v>5642.67</v>
      </c>
      <c r="N9" s="93">
        <f t="shared" si="0"/>
        <v>5642.67</v>
      </c>
      <c r="O9" s="93">
        <f t="shared" si="0"/>
        <v>5642.67</v>
      </c>
      <c r="P9" s="93">
        <f t="shared" si="0"/>
        <v>5642.67</v>
      </c>
      <c r="Q9" s="93">
        <f t="shared" si="0"/>
        <v>5642.67</v>
      </c>
      <c r="R9" s="8">
        <f>4886.21+143.79+209.71+656.9</f>
        <v>5896.61</v>
      </c>
      <c r="S9" s="8">
        <f>143.76+209.75+657.08</f>
        <v>1010.59</v>
      </c>
      <c r="T9" s="8">
        <f>143.76+209.75+657.08</f>
        <v>1010.59</v>
      </c>
      <c r="U9" s="8">
        <f>143.76+209.75+657.08</f>
        <v>1010.59</v>
      </c>
      <c r="V9" s="8">
        <f>143.76+209.75+657.08</f>
        <v>1010.59</v>
      </c>
      <c r="W9" s="8">
        <f>143.76+209.75+657.08</f>
        <v>1010.59</v>
      </c>
      <c r="X9" s="92">
        <f>SUM(L9:W9)</f>
        <v>44805.57999999998</v>
      </c>
      <c r="Y9" s="94">
        <f>SUM(C9:W9)</f>
        <v>102053.96999999997</v>
      </c>
    </row>
    <row r="10" spans="1:25" ht="13.5" thickBot="1">
      <c r="A10" s="34"/>
      <c r="B10" s="26" t="s">
        <v>68</v>
      </c>
      <c r="C10" s="60"/>
      <c r="D10" s="83"/>
      <c r="E10" s="63"/>
      <c r="F10" s="83"/>
      <c r="G10" s="83"/>
      <c r="H10" s="83"/>
      <c r="I10" s="83"/>
      <c r="J10" s="83"/>
      <c r="K10" s="83">
        <v>2472.33</v>
      </c>
      <c r="L10" s="69">
        <v>209.57</v>
      </c>
      <c r="M10" s="93">
        <v>209.57</v>
      </c>
      <c r="N10" s="93">
        <v>209.57</v>
      </c>
      <c r="O10" s="93">
        <v>209.57</v>
      </c>
      <c r="P10" s="93"/>
      <c r="Q10" s="93"/>
      <c r="R10" s="8"/>
      <c r="S10" s="8"/>
      <c r="T10" s="8"/>
      <c r="U10" s="8"/>
      <c r="V10" s="8"/>
      <c r="W10" s="8"/>
      <c r="X10" s="92">
        <f>SUM(L10:W10)</f>
        <v>838.28</v>
      </c>
      <c r="Y10" s="94">
        <f>SUM(C10:W10)</f>
        <v>3310.6100000000006</v>
      </c>
    </row>
    <row r="11" spans="1:25" s="106" customFormat="1" ht="13.5" thickBot="1">
      <c r="A11" s="100" t="s">
        <v>27</v>
      </c>
      <c r="B11" s="101" t="s">
        <v>2</v>
      </c>
      <c r="C11" s="102">
        <v>41217.79</v>
      </c>
      <c r="D11" s="103">
        <f aca="true" t="shared" si="1" ref="D11:L11">SUM(D12:D27)</f>
        <v>357289.0899999999</v>
      </c>
      <c r="E11" s="102">
        <f t="shared" si="1"/>
        <v>440370.42999999993</v>
      </c>
      <c r="F11" s="103">
        <f t="shared" si="1"/>
        <v>468853.88999999996</v>
      </c>
      <c r="G11" s="103">
        <f t="shared" si="1"/>
        <v>533384.9099999999</v>
      </c>
      <c r="H11" s="103">
        <f t="shared" si="1"/>
        <v>458031.19</v>
      </c>
      <c r="I11" s="103">
        <f>SUM(I12:I27)</f>
        <v>554841.4199999999</v>
      </c>
      <c r="J11" s="103">
        <f>SUM(J12:J27)</f>
        <v>532984.54</v>
      </c>
      <c r="K11" s="103">
        <f>SUM(K12:K27)</f>
        <v>610386.7200000001</v>
      </c>
      <c r="L11" s="102">
        <f t="shared" si="1"/>
        <v>50105.68</v>
      </c>
      <c r="M11" s="103">
        <f aca="true" t="shared" si="2" ref="M11:W11">SUM(M12:M27)</f>
        <v>48148.14</v>
      </c>
      <c r="N11" s="103">
        <f t="shared" si="2"/>
        <v>44950.57</v>
      </c>
      <c r="O11" s="104">
        <f t="shared" si="2"/>
        <v>48718.5</v>
      </c>
      <c r="P11" s="104">
        <f t="shared" si="2"/>
        <v>59061.11</v>
      </c>
      <c r="Q11" s="104">
        <f t="shared" si="2"/>
        <v>49408.75</v>
      </c>
      <c r="R11" s="104">
        <f t="shared" si="2"/>
        <v>48222.36</v>
      </c>
      <c r="S11" s="104">
        <f t="shared" si="2"/>
        <v>40139.98000000001</v>
      </c>
      <c r="T11" s="104">
        <f t="shared" si="2"/>
        <v>44669.81999999999</v>
      </c>
      <c r="U11" s="104">
        <f t="shared" si="2"/>
        <v>55332.25</v>
      </c>
      <c r="V11" s="104">
        <f t="shared" si="2"/>
        <v>41885.36000000001</v>
      </c>
      <c r="W11" s="102">
        <f t="shared" si="2"/>
        <v>45373.89000000001</v>
      </c>
      <c r="X11" s="103">
        <f>SUM(L11:W11)</f>
        <v>576016.41</v>
      </c>
      <c r="Y11" s="105">
        <f>SUM(C11:W11)</f>
        <v>4573376.3900000015</v>
      </c>
    </row>
    <row r="12" spans="1:25" ht="13.5" customHeight="1" thickBot="1">
      <c r="A12" s="34" t="s">
        <v>28</v>
      </c>
      <c r="B12" s="28" t="s">
        <v>4</v>
      </c>
      <c r="C12" s="43"/>
      <c r="D12" s="44">
        <v>82329.66</v>
      </c>
      <c r="E12" s="64">
        <v>92433.37</v>
      </c>
      <c r="F12" s="44">
        <v>91765.85</v>
      </c>
      <c r="G12" s="44">
        <v>108423.18</v>
      </c>
      <c r="H12" s="44">
        <v>122529.04</v>
      </c>
      <c r="I12" s="44">
        <v>116064.71</v>
      </c>
      <c r="J12" s="44">
        <v>113324.7</v>
      </c>
      <c r="K12" s="44">
        <v>115510.46</v>
      </c>
      <c r="L12" s="69">
        <f>9169+359.84</f>
        <v>9528.84</v>
      </c>
      <c r="M12" s="93">
        <f>9169+304.73</f>
        <v>9473.73</v>
      </c>
      <c r="N12" s="93">
        <f>9169+280.3</f>
        <v>9449.3</v>
      </c>
      <c r="O12" s="7">
        <f>9275+798.01</f>
        <v>10073.01</v>
      </c>
      <c r="P12" s="8">
        <f>9381+753.42</f>
        <v>10134.42</v>
      </c>
      <c r="Q12" s="8">
        <f>9328+769.82</f>
        <v>10097.82</v>
      </c>
      <c r="R12" s="8">
        <f>9328+656.9</f>
        <v>9984.9</v>
      </c>
      <c r="S12" s="8">
        <f>9381+834.85</f>
        <v>10215.85</v>
      </c>
      <c r="T12" s="8">
        <f>9275+614.12</f>
        <v>9889.12</v>
      </c>
      <c r="U12" s="8">
        <f>9328+500.91</f>
        <v>9828.91</v>
      </c>
      <c r="V12" s="8">
        <f>9381+584.52</f>
        <v>9965.52</v>
      </c>
      <c r="W12" s="16">
        <f>9328+534.48</f>
        <v>9862.48</v>
      </c>
      <c r="X12" s="54">
        <f aca="true" t="shared" si="3" ref="X12:X29">SUM(L12:W12)</f>
        <v>118503.9</v>
      </c>
      <c r="Y12" s="95">
        <f aca="true" t="shared" si="4" ref="Y12:Y27">SUM(C12:W12)</f>
        <v>960884.8699999999</v>
      </c>
    </row>
    <row r="13" spans="1:25" ht="15" customHeight="1" thickBot="1">
      <c r="A13" s="34" t="s">
        <v>29</v>
      </c>
      <c r="B13" s="29" t="s">
        <v>60</v>
      </c>
      <c r="C13" s="45"/>
      <c r="D13" s="46">
        <v>119205.08</v>
      </c>
      <c r="E13" s="65">
        <v>39572.42</v>
      </c>
      <c r="F13" s="46">
        <f>10640.65+5618.33</f>
        <v>16258.98</v>
      </c>
      <c r="G13" s="46">
        <f>12433.58+3300</f>
        <v>15733.58</v>
      </c>
      <c r="H13" s="46">
        <v>3193.9</v>
      </c>
      <c r="I13" s="46">
        <v>23336.13</v>
      </c>
      <c r="J13" s="46">
        <v>10302.97</v>
      </c>
      <c r="K13" s="46">
        <v>27933.65</v>
      </c>
      <c r="L13" s="70"/>
      <c r="M13" s="98"/>
      <c r="N13" s="98">
        <v>420</v>
      </c>
      <c r="O13" s="9"/>
      <c r="P13" s="10">
        <v>1137</v>
      </c>
      <c r="Q13" s="10">
        <v>5000</v>
      </c>
      <c r="R13" s="10">
        <v>980</v>
      </c>
      <c r="S13" s="10"/>
      <c r="T13" s="10"/>
      <c r="U13" s="10">
        <v>3200</v>
      </c>
      <c r="V13" s="10"/>
      <c r="W13" s="17"/>
      <c r="X13" s="54">
        <f t="shared" si="3"/>
        <v>10737</v>
      </c>
      <c r="Y13" s="95">
        <f t="shared" si="4"/>
        <v>266273.70999999996</v>
      </c>
    </row>
    <row r="14" spans="1:25" ht="15.75" customHeight="1" thickBot="1">
      <c r="A14" s="34" t="s">
        <v>30</v>
      </c>
      <c r="B14" s="27" t="s">
        <v>5</v>
      </c>
      <c r="C14" s="45"/>
      <c r="D14" s="46">
        <v>0</v>
      </c>
      <c r="E14" s="65">
        <v>5730.32</v>
      </c>
      <c r="F14" s="46">
        <v>0</v>
      </c>
      <c r="G14" s="46">
        <v>0</v>
      </c>
      <c r="H14" s="46"/>
      <c r="I14" s="46">
        <v>12799.9</v>
      </c>
      <c r="J14" s="46">
        <v>0</v>
      </c>
      <c r="K14" s="46">
        <v>0</v>
      </c>
      <c r="L14" s="70"/>
      <c r="M14" s="98"/>
      <c r="N14" s="98"/>
      <c r="O14" s="9"/>
      <c r="P14" s="10">
        <v>12381.03</v>
      </c>
      <c r="Q14" s="10"/>
      <c r="R14" s="10"/>
      <c r="S14" s="10"/>
      <c r="T14" s="10"/>
      <c r="U14" s="10"/>
      <c r="V14" s="10"/>
      <c r="W14" s="17"/>
      <c r="X14" s="54">
        <f t="shared" si="3"/>
        <v>12381.03</v>
      </c>
      <c r="Y14" s="95">
        <f t="shared" si="4"/>
        <v>30911.25</v>
      </c>
    </row>
    <row r="15" spans="1:25" ht="13.5" customHeight="1" thickBot="1">
      <c r="A15" s="34" t="s">
        <v>64</v>
      </c>
      <c r="B15" s="27" t="s">
        <v>63</v>
      </c>
      <c r="C15" s="45"/>
      <c r="D15" s="46"/>
      <c r="E15" s="65"/>
      <c r="F15" s="46"/>
      <c r="G15" s="46"/>
      <c r="H15" s="46"/>
      <c r="I15" s="44">
        <v>3550</v>
      </c>
      <c r="J15" s="44">
        <v>4900</v>
      </c>
      <c r="K15" s="44">
        <v>0</v>
      </c>
      <c r="L15" s="69">
        <v>3900</v>
      </c>
      <c r="M15" s="98"/>
      <c r="N15" s="98"/>
      <c r="O15" s="9"/>
      <c r="P15" s="10"/>
      <c r="Q15" s="10"/>
      <c r="R15" s="10"/>
      <c r="S15" s="10"/>
      <c r="T15" s="10">
        <v>3600</v>
      </c>
      <c r="U15" s="10"/>
      <c r="V15" s="10"/>
      <c r="W15" s="17"/>
      <c r="X15" s="54">
        <f>SUM(L15:W15)</f>
        <v>7500</v>
      </c>
      <c r="Y15" s="95">
        <f>SUM(C15:W15)</f>
        <v>15950</v>
      </c>
    </row>
    <row r="16" spans="1:25" ht="15.75" customHeight="1" thickBot="1">
      <c r="A16" s="34" t="s">
        <v>31</v>
      </c>
      <c r="B16" s="29" t="s">
        <v>53</v>
      </c>
      <c r="C16" s="45"/>
      <c r="D16" s="46">
        <v>11434.55</v>
      </c>
      <c r="E16" s="65">
        <v>34194.06</v>
      </c>
      <c r="F16" s="46">
        <v>61952.29</v>
      </c>
      <c r="G16" s="46">
        <v>99643.71</v>
      </c>
      <c r="H16" s="46">
        <v>21774.14</v>
      </c>
      <c r="I16" s="44">
        <v>35612.48</v>
      </c>
      <c r="J16" s="44">
        <v>61970.11</v>
      </c>
      <c r="K16" s="44">
        <v>63813.03</v>
      </c>
      <c r="L16" s="69">
        <v>347</v>
      </c>
      <c r="M16" s="98">
        <f>890+1873.61</f>
        <v>2763.6099999999997</v>
      </c>
      <c r="N16" s="98">
        <v>105</v>
      </c>
      <c r="O16" s="9">
        <f>2439.87+760</f>
        <v>3199.87</v>
      </c>
      <c r="P16" s="10">
        <v>1101.1</v>
      </c>
      <c r="Q16" s="10">
        <v>137</v>
      </c>
      <c r="R16" s="10">
        <f>587.9+370</f>
        <v>957.9</v>
      </c>
      <c r="S16" s="10">
        <v>90</v>
      </c>
      <c r="T16" s="10">
        <v>1172.11</v>
      </c>
      <c r="U16" s="10">
        <v>10262.84</v>
      </c>
      <c r="V16" s="10">
        <v>507</v>
      </c>
      <c r="W16" s="17">
        <v>2186</v>
      </c>
      <c r="X16" s="54">
        <f t="shared" si="3"/>
        <v>22829.43</v>
      </c>
      <c r="Y16" s="95">
        <f t="shared" si="4"/>
        <v>413223.8</v>
      </c>
    </row>
    <row r="17" spans="1:25" ht="21" customHeight="1" thickBot="1">
      <c r="A17" s="34" t="s">
        <v>32</v>
      </c>
      <c r="B17" s="29" t="s">
        <v>52</v>
      </c>
      <c r="C17" s="45">
        <v>0</v>
      </c>
      <c r="D17" s="46">
        <v>0</v>
      </c>
      <c r="E17" s="65">
        <v>0</v>
      </c>
      <c r="F17" s="46">
        <v>256</v>
      </c>
      <c r="G17" s="46">
        <v>0</v>
      </c>
      <c r="H17" s="46">
        <v>1991.04</v>
      </c>
      <c r="I17" s="46">
        <v>10602.96</v>
      </c>
      <c r="J17" s="46">
        <v>186</v>
      </c>
      <c r="K17" s="46">
        <v>340.18</v>
      </c>
      <c r="L17" s="70">
        <v>14</v>
      </c>
      <c r="M17" s="98">
        <v>78</v>
      </c>
      <c r="N17" s="98"/>
      <c r="O17" s="9"/>
      <c r="P17" s="10"/>
      <c r="Q17" s="10"/>
      <c r="R17" s="10"/>
      <c r="S17" s="10"/>
      <c r="T17" s="10">
        <v>1510</v>
      </c>
      <c r="U17" s="10"/>
      <c r="V17" s="10"/>
      <c r="W17" s="17"/>
      <c r="X17" s="54">
        <f t="shared" si="3"/>
        <v>1602</v>
      </c>
      <c r="Y17" s="95">
        <f t="shared" si="4"/>
        <v>14978.18</v>
      </c>
    </row>
    <row r="18" spans="1:25" ht="12" customHeight="1" thickBot="1">
      <c r="A18" s="34" t="s">
        <v>33</v>
      </c>
      <c r="B18" s="29" t="s">
        <v>69</v>
      </c>
      <c r="C18" s="45"/>
      <c r="D18" s="46">
        <v>2764.05</v>
      </c>
      <c r="E18" s="65">
        <v>5881.84</v>
      </c>
      <c r="F18" s="46">
        <v>3041.31</v>
      </c>
      <c r="G18" s="46">
        <v>0</v>
      </c>
      <c r="H18" s="46"/>
      <c r="I18" s="46">
        <v>0</v>
      </c>
      <c r="J18" s="46">
        <v>0</v>
      </c>
      <c r="K18" s="46">
        <v>45260.7</v>
      </c>
      <c r="L18" s="70">
        <v>4655.5</v>
      </c>
      <c r="M18" s="98">
        <v>4655.5</v>
      </c>
      <c r="N18" s="98">
        <v>4655.5</v>
      </c>
      <c r="O18" s="98">
        <v>4655.5</v>
      </c>
      <c r="P18" s="98">
        <v>4655.5</v>
      </c>
      <c r="Q18" s="98">
        <v>4655.5</v>
      </c>
      <c r="R18" s="10">
        <v>4886.21</v>
      </c>
      <c r="S18" s="10"/>
      <c r="T18" s="10"/>
      <c r="U18" s="10"/>
      <c r="V18" s="10"/>
      <c r="W18" s="17"/>
      <c r="X18" s="54">
        <f t="shared" si="3"/>
        <v>32819.21</v>
      </c>
      <c r="Y18" s="95">
        <f t="shared" si="4"/>
        <v>89767.11</v>
      </c>
    </row>
    <row r="19" spans="1:25" ht="12" customHeight="1" thickBot="1">
      <c r="A19" s="34"/>
      <c r="B19" s="29" t="s">
        <v>71</v>
      </c>
      <c r="C19" s="45"/>
      <c r="D19" s="46"/>
      <c r="E19" s="65"/>
      <c r="F19" s="46"/>
      <c r="G19" s="46"/>
      <c r="H19" s="46"/>
      <c r="I19" s="46"/>
      <c r="J19" s="46"/>
      <c r="K19" s="46">
        <v>1664.98</v>
      </c>
      <c r="L19" s="70">
        <v>142.89</v>
      </c>
      <c r="M19" s="98">
        <v>142.89</v>
      </c>
      <c r="N19" s="98">
        <v>142.89</v>
      </c>
      <c r="O19" s="98">
        <v>142.89</v>
      </c>
      <c r="P19" s="98">
        <v>142.89</v>
      </c>
      <c r="Q19" s="98">
        <v>142.89</v>
      </c>
      <c r="R19" s="10">
        <v>143.77</v>
      </c>
      <c r="S19" s="10">
        <v>143.77</v>
      </c>
      <c r="T19" s="10">
        <v>143.77</v>
      </c>
      <c r="U19" s="10">
        <v>143.77</v>
      </c>
      <c r="V19" s="10">
        <v>143.77</v>
      </c>
      <c r="W19" s="10">
        <v>143.77</v>
      </c>
      <c r="X19" s="54">
        <f>SUM(L19:W19)</f>
        <v>1719.9599999999998</v>
      </c>
      <c r="Y19" s="95">
        <f>SUM(C19:W19)</f>
        <v>3384.939999999999</v>
      </c>
    </row>
    <row r="20" spans="1:25" ht="12" customHeight="1" thickBot="1">
      <c r="A20" s="34"/>
      <c r="B20" s="29" t="s">
        <v>70</v>
      </c>
      <c r="C20" s="45"/>
      <c r="D20" s="46"/>
      <c r="E20" s="65"/>
      <c r="F20" s="46"/>
      <c r="G20" s="46"/>
      <c r="H20" s="46"/>
      <c r="I20" s="46"/>
      <c r="J20" s="46"/>
      <c r="K20" s="46">
        <v>8975.54</v>
      </c>
      <c r="L20" s="70">
        <v>636.29</v>
      </c>
      <c r="M20" s="98">
        <v>636.29</v>
      </c>
      <c r="N20" s="98">
        <v>636.29</v>
      </c>
      <c r="O20" s="98">
        <v>636.29</v>
      </c>
      <c r="P20" s="98">
        <v>636.29</v>
      </c>
      <c r="Q20" s="98">
        <v>636.29</v>
      </c>
      <c r="R20" s="10">
        <v>657</v>
      </c>
      <c r="S20" s="10">
        <v>657</v>
      </c>
      <c r="T20" s="10">
        <v>657</v>
      </c>
      <c r="U20" s="10">
        <v>657</v>
      </c>
      <c r="V20" s="10">
        <v>657</v>
      </c>
      <c r="W20" s="10">
        <v>657</v>
      </c>
      <c r="X20" s="54">
        <f>SUM(L20:W20)</f>
        <v>7759.74</v>
      </c>
      <c r="Y20" s="95">
        <f>SUM(C20:W20)</f>
        <v>16735.280000000006</v>
      </c>
    </row>
    <row r="21" spans="1:25" ht="12" customHeight="1" thickBot="1">
      <c r="A21" s="34"/>
      <c r="B21" s="29" t="s">
        <v>72</v>
      </c>
      <c r="C21" s="45"/>
      <c r="D21" s="46"/>
      <c r="E21" s="65"/>
      <c r="F21" s="46"/>
      <c r="G21" s="46"/>
      <c r="H21" s="46"/>
      <c r="I21" s="46"/>
      <c r="J21" s="46"/>
      <c r="K21" s="46">
        <v>1449.98</v>
      </c>
      <c r="L21" s="70">
        <v>207.84</v>
      </c>
      <c r="M21" s="98">
        <v>207.84</v>
      </c>
      <c r="N21" s="98">
        <v>207.84</v>
      </c>
      <c r="O21" s="98">
        <v>207.84</v>
      </c>
      <c r="P21" s="98">
        <v>207.84</v>
      </c>
      <c r="Q21" s="98">
        <v>207.84</v>
      </c>
      <c r="R21" s="10">
        <v>209.62</v>
      </c>
      <c r="S21" s="10">
        <v>209.62</v>
      </c>
      <c r="T21" s="10">
        <v>209.62</v>
      </c>
      <c r="U21" s="10">
        <v>209.62</v>
      </c>
      <c r="V21" s="10">
        <v>209.62</v>
      </c>
      <c r="W21" s="10">
        <v>209.62</v>
      </c>
      <c r="X21" s="54">
        <f>SUM(L21:W21)</f>
        <v>2504.7599999999993</v>
      </c>
      <c r="Y21" s="95">
        <f>SUM(C21:W21)</f>
        <v>3954.74</v>
      </c>
    </row>
    <row r="22" spans="1:25" ht="13.5" customHeight="1" thickBot="1">
      <c r="A22" s="34" t="s">
        <v>34</v>
      </c>
      <c r="B22" s="29" t="s">
        <v>6</v>
      </c>
      <c r="C22" s="45"/>
      <c r="D22" s="46">
        <v>1666.31</v>
      </c>
      <c r="E22" s="65">
        <v>1048.94</v>
      </c>
      <c r="F22" s="46">
        <v>1087.65</v>
      </c>
      <c r="G22" s="46">
        <v>1029.77</v>
      </c>
      <c r="H22" s="46">
        <v>1072.24</v>
      </c>
      <c r="I22" s="46">
        <v>1168.87</v>
      </c>
      <c r="J22" s="46">
        <v>795.09</v>
      </c>
      <c r="K22" s="46">
        <v>1370.25</v>
      </c>
      <c r="L22" s="70"/>
      <c r="M22" s="98"/>
      <c r="N22" s="98">
        <v>282.64</v>
      </c>
      <c r="O22" s="9"/>
      <c r="P22" s="10"/>
      <c r="Q22" s="10">
        <v>263.72</v>
      </c>
      <c r="R22" s="10"/>
      <c r="S22" s="10"/>
      <c r="T22" s="10">
        <v>263.8</v>
      </c>
      <c r="U22" s="10"/>
      <c r="V22" s="10"/>
      <c r="W22" s="17">
        <v>282.6</v>
      </c>
      <c r="X22" s="54">
        <f t="shared" si="3"/>
        <v>1092.7600000000002</v>
      </c>
      <c r="Y22" s="95">
        <f>SUM(C22:W22)</f>
        <v>10331.879999999997</v>
      </c>
    </row>
    <row r="23" spans="1:25" ht="24" customHeight="1" thickBot="1">
      <c r="A23" s="34" t="s">
        <v>35</v>
      </c>
      <c r="B23" s="29" t="s">
        <v>73</v>
      </c>
      <c r="C23" s="45"/>
      <c r="D23" s="46">
        <v>5917.69</v>
      </c>
      <c r="E23" s="65">
        <v>21090.38</v>
      </c>
      <c r="F23" s="46">
        <v>26584.14</v>
      </c>
      <c r="G23" s="46">
        <v>24265.24</v>
      </c>
      <c r="H23" s="46">
        <v>17699.54</v>
      </c>
      <c r="I23" s="46">
        <v>20876.41</v>
      </c>
      <c r="J23" s="46">
        <v>22088.62</v>
      </c>
      <c r="K23" s="46">
        <v>22457.43</v>
      </c>
      <c r="L23" s="70">
        <v>1959.45</v>
      </c>
      <c r="M23" s="98">
        <v>1797.58</v>
      </c>
      <c r="N23" s="98">
        <v>2397.29</v>
      </c>
      <c r="O23" s="9">
        <v>1869.39</v>
      </c>
      <c r="P23" s="10">
        <v>1572.31</v>
      </c>
      <c r="Q23" s="10">
        <v>2278.86</v>
      </c>
      <c r="R23" s="10">
        <v>1853.69</v>
      </c>
      <c r="S23" s="10">
        <v>1895.3</v>
      </c>
      <c r="T23" s="10">
        <v>1557.68</v>
      </c>
      <c r="U23" s="10">
        <v>2338.25</v>
      </c>
      <c r="V23" s="10">
        <v>2067.24</v>
      </c>
      <c r="W23" s="17">
        <v>2018.74</v>
      </c>
      <c r="X23" s="54">
        <f t="shared" si="3"/>
        <v>23605.780000000002</v>
      </c>
      <c r="Y23" s="95">
        <f t="shared" si="4"/>
        <v>184585.22999999995</v>
      </c>
    </row>
    <row r="24" spans="1:25" ht="24" customHeight="1" thickBot="1">
      <c r="A24" s="34" t="s">
        <v>36</v>
      </c>
      <c r="B24" s="29" t="s">
        <v>61</v>
      </c>
      <c r="C24" s="45"/>
      <c r="D24" s="46">
        <v>10657.74</v>
      </c>
      <c r="E24" s="65">
        <v>12031.64</v>
      </c>
      <c r="F24" s="46">
        <v>3443.9</v>
      </c>
      <c r="G24" s="46">
        <v>2448.2</v>
      </c>
      <c r="H24" s="46">
        <v>5324.47</v>
      </c>
      <c r="I24" s="46">
        <v>3597.9</v>
      </c>
      <c r="J24" s="46">
        <v>3142.64</v>
      </c>
      <c r="K24" s="46">
        <v>2456.52</v>
      </c>
      <c r="L24" s="70">
        <v>193.67</v>
      </c>
      <c r="M24" s="98">
        <v>130.03</v>
      </c>
      <c r="N24" s="98">
        <v>92.32</v>
      </c>
      <c r="O24" s="9">
        <v>129.73</v>
      </c>
      <c r="P24" s="10">
        <v>120.46</v>
      </c>
      <c r="Q24" s="10">
        <v>143.65</v>
      </c>
      <c r="R24" s="10">
        <v>439.29</v>
      </c>
      <c r="S24" s="10">
        <v>112.45</v>
      </c>
      <c r="T24" s="10">
        <v>139.23</v>
      </c>
      <c r="U24" s="10">
        <v>120.57</v>
      </c>
      <c r="V24" s="10">
        <v>576.54</v>
      </c>
      <c r="W24" s="17">
        <v>183.28</v>
      </c>
      <c r="X24" s="54">
        <f t="shared" si="3"/>
        <v>2381.2200000000003</v>
      </c>
      <c r="Y24" s="95">
        <f t="shared" si="4"/>
        <v>45484.229999999996</v>
      </c>
    </row>
    <row r="25" spans="1:25" ht="33" customHeight="1" thickBot="1">
      <c r="A25" s="34" t="s">
        <v>37</v>
      </c>
      <c r="B25" s="29" t="s">
        <v>62</v>
      </c>
      <c r="C25" s="45"/>
      <c r="D25" s="46">
        <v>9618.02</v>
      </c>
      <c r="E25" s="65">
        <v>18980.4</v>
      </c>
      <c r="F25" s="46">
        <v>17902.74</v>
      </c>
      <c r="G25" s="46">
        <v>24015.36</v>
      </c>
      <c r="H25" s="46">
        <v>20645.54</v>
      </c>
      <c r="I25" s="46">
        <v>26833.32</v>
      </c>
      <c r="J25" s="46">
        <v>22984.69</v>
      </c>
      <c r="K25" s="46">
        <v>24227.61</v>
      </c>
      <c r="L25" s="70">
        <f>96.92+693.21+1070.92</f>
        <v>1861.0500000000002</v>
      </c>
      <c r="M25" s="98">
        <f>1016.74+106.22+937.8</f>
        <v>2060.76</v>
      </c>
      <c r="N25" s="98">
        <f>1029.83+105.3+1017.75</f>
        <v>2152.88</v>
      </c>
      <c r="O25" s="9">
        <f>1084.82+106.72+792.85</f>
        <v>1984.3899999999999</v>
      </c>
      <c r="P25" s="10">
        <f>1315.29+95.88+618.74</f>
        <v>2029.91</v>
      </c>
      <c r="Q25" s="10">
        <f>1056.32+89.93+590.4</f>
        <v>1736.65</v>
      </c>
      <c r="R25" s="10">
        <f>101.2+686.07+1333.02</f>
        <v>2120.29</v>
      </c>
      <c r="S25" s="10">
        <f>107.43+1042.39+1033.18</f>
        <v>2183</v>
      </c>
      <c r="T25" s="10">
        <f>1203.75+84.51+806.18</f>
        <v>2094.44</v>
      </c>
      <c r="U25" s="10">
        <f>112.82+1450.75+1173.42</f>
        <v>2736.99</v>
      </c>
      <c r="V25" s="10">
        <f>92.45+809.22+1681.04</f>
        <v>2582.71</v>
      </c>
      <c r="W25" s="17">
        <f>1526.46+106.92+1369.54</f>
        <v>3002.92</v>
      </c>
      <c r="X25" s="54">
        <f t="shared" si="3"/>
        <v>26545.989999999998</v>
      </c>
      <c r="Y25" s="95">
        <f t="shared" si="4"/>
        <v>191753.67</v>
      </c>
    </row>
    <row r="26" spans="1:25" ht="15" customHeight="1" thickBot="1">
      <c r="A26" s="34" t="s">
        <v>54</v>
      </c>
      <c r="B26" s="29" t="s">
        <v>9</v>
      </c>
      <c r="C26" s="45"/>
      <c r="D26" s="46">
        <v>95803.08</v>
      </c>
      <c r="E26" s="65">
        <v>178315.69</v>
      </c>
      <c r="F26" s="46">
        <v>224922.65</v>
      </c>
      <c r="G26" s="46">
        <v>237270.61</v>
      </c>
      <c r="H26" s="46">
        <v>242896.91</v>
      </c>
      <c r="I26" s="46">
        <v>279128.28</v>
      </c>
      <c r="J26" s="46">
        <v>272464.61</v>
      </c>
      <c r="K26" s="46">
        <v>272009.01</v>
      </c>
      <c r="L26" s="70">
        <f>50105.68-25360.79</f>
        <v>24744.89</v>
      </c>
      <c r="M26" s="98">
        <f>48148.14-23847.54</f>
        <v>24300.6</v>
      </c>
      <c r="N26" s="98">
        <f>44950.57-22139.42-207.84</f>
        <v>22603.31</v>
      </c>
      <c r="O26" s="9">
        <f>48718.5-24823.16</f>
        <v>23895.34</v>
      </c>
      <c r="P26" s="10">
        <f>59061.11-36043.44</f>
        <v>23017.67</v>
      </c>
      <c r="Q26" s="10">
        <f>49408.75-26966.31</f>
        <v>22442.44</v>
      </c>
      <c r="R26" s="10">
        <f>48222.36-24601.95</f>
        <v>23620.41</v>
      </c>
      <c r="S26" s="10">
        <f>40139.98-17409.04</f>
        <v>22730.940000000002</v>
      </c>
      <c r="T26" s="10">
        <f>44669.82-22828.19</f>
        <v>21841.63</v>
      </c>
      <c r="U26" s="10">
        <f>55332.25-31200.2</f>
        <v>24132.05</v>
      </c>
      <c r="V26" s="10">
        <f>41885.36-18480.02</f>
        <v>23405.34</v>
      </c>
      <c r="W26" s="17">
        <f>45373.93-20247.92-0.04</f>
        <v>25125.97</v>
      </c>
      <c r="X26" s="54">
        <f t="shared" si="3"/>
        <v>281860.58999999997</v>
      </c>
      <c r="Y26" s="95">
        <f t="shared" si="4"/>
        <v>2084671.43</v>
      </c>
    </row>
    <row r="27" spans="1:25" ht="13.5" customHeight="1" thickBot="1">
      <c r="A27" s="34" t="s">
        <v>55</v>
      </c>
      <c r="B27" s="30" t="s">
        <v>3</v>
      </c>
      <c r="C27" s="47"/>
      <c r="D27" s="48">
        <v>17892.91</v>
      </c>
      <c r="E27" s="66">
        <v>31091.37</v>
      </c>
      <c r="F27" s="48">
        <v>21638.38</v>
      </c>
      <c r="G27" s="48">
        <v>20555.26</v>
      </c>
      <c r="H27" s="48">
        <v>20904.37</v>
      </c>
      <c r="I27" s="48">
        <v>21270.46</v>
      </c>
      <c r="J27" s="48">
        <v>20825.11</v>
      </c>
      <c r="K27" s="48">
        <v>22917.38</v>
      </c>
      <c r="L27" s="71">
        <f>220.38+1693.88</f>
        <v>1914.2600000000002</v>
      </c>
      <c r="M27" s="99">
        <f>211.71+1689.6</f>
        <v>1901.31</v>
      </c>
      <c r="N27" s="99">
        <f>201.02+1604.29</f>
        <v>1805.31</v>
      </c>
      <c r="O27" s="11">
        <f>223.32+1700.93</f>
        <v>1924.25</v>
      </c>
      <c r="P27" s="12">
        <f>214.32+1710.37</f>
        <v>1924.6899999999998</v>
      </c>
      <c r="Q27" s="12">
        <f>185.52+1480.57</f>
        <v>1666.09</v>
      </c>
      <c r="R27" s="12">
        <f>264.45+2104.83</f>
        <v>2369.2799999999997</v>
      </c>
      <c r="S27" s="12">
        <f>181.61+1720.44</f>
        <v>1902.0500000000002</v>
      </c>
      <c r="T27" s="12">
        <f>38.43+1552.99</f>
        <v>1591.42</v>
      </c>
      <c r="U27" s="12">
        <f>40.52+1661.73</f>
        <v>1702.25</v>
      </c>
      <c r="V27" s="12">
        <f>39.06+1731.56</f>
        <v>1770.62</v>
      </c>
      <c r="W27" s="84">
        <f>60.5+36.43+1604.58</f>
        <v>1701.51</v>
      </c>
      <c r="X27" s="54">
        <f t="shared" si="3"/>
        <v>22173.039999999994</v>
      </c>
      <c r="Y27" s="95">
        <f t="shared" si="4"/>
        <v>199268.28</v>
      </c>
    </row>
    <row r="28" spans="1:25" ht="12.75" customHeight="1" thickBot="1">
      <c r="A28" s="34"/>
      <c r="B28" s="40" t="s">
        <v>58</v>
      </c>
      <c r="C28" s="73"/>
      <c r="D28" s="74"/>
      <c r="E28" s="75"/>
      <c r="F28" s="74"/>
      <c r="G28" s="74"/>
      <c r="H28" s="77">
        <f>H8*5%</f>
        <v>27085.01</v>
      </c>
      <c r="I28" s="77">
        <f>I8*5%</f>
        <v>27097.3665</v>
      </c>
      <c r="J28" s="77">
        <f>J8*5%</f>
        <v>27107.893</v>
      </c>
      <c r="K28" s="97">
        <f>K8*5%</f>
        <v>27009.805500000002</v>
      </c>
      <c r="L28" s="76">
        <f>SUM(L8+L9+L10)*5%</f>
        <v>2544.214</v>
      </c>
      <c r="M28" s="77">
        <f aca="true" t="shared" si="5" ref="M28:W28">SUM(M8+M9+M10)*5%</f>
        <v>2544.214</v>
      </c>
      <c r="N28" s="76">
        <f t="shared" si="5"/>
        <v>2544.214</v>
      </c>
      <c r="O28" s="77">
        <f t="shared" si="5"/>
        <v>2544.214</v>
      </c>
      <c r="P28" s="76">
        <f t="shared" si="5"/>
        <v>2533.7355000000002</v>
      </c>
      <c r="Q28" s="77">
        <f t="shared" si="5"/>
        <v>2533.7355000000002</v>
      </c>
      <c r="R28" s="76">
        <f t="shared" si="5"/>
        <v>2546.4325000000003</v>
      </c>
      <c r="S28" s="77">
        <f t="shared" si="5"/>
        <v>2301.6655</v>
      </c>
      <c r="T28" s="76">
        <f t="shared" si="5"/>
        <v>2301.6655</v>
      </c>
      <c r="U28" s="77">
        <f t="shared" si="5"/>
        <v>2301.6655</v>
      </c>
      <c r="V28" s="76">
        <f t="shared" si="5"/>
        <v>2301.6655</v>
      </c>
      <c r="W28" s="77">
        <f t="shared" si="5"/>
        <v>2301.717</v>
      </c>
      <c r="X28" s="77">
        <f t="shared" si="3"/>
        <v>29299.138499999997</v>
      </c>
      <c r="Y28" s="96"/>
    </row>
    <row r="29" spans="1:25" ht="15" customHeight="1" thickBot="1">
      <c r="A29" s="87" t="s">
        <v>38</v>
      </c>
      <c r="B29" s="57" t="s">
        <v>48</v>
      </c>
      <c r="C29" s="58"/>
      <c r="D29" s="59"/>
      <c r="E29" s="67"/>
      <c r="F29" s="59"/>
      <c r="G29" s="59"/>
      <c r="H29" s="59"/>
      <c r="I29" s="59"/>
      <c r="J29" s="59"/>
      <c r="K29" s="80">
        <f aca="true" t="shared" si="6" ref="K29:W29">SUM(K8+K9+K10-K11)-K28</f>
        <v>-37479.69550000013</v>
      </c>
      <c r="L29" s="78">
        <f t="shared" si="6"/>
        <v>-1765.6140000000014</v>
      </c>
      <c r="M29" s="77">
        <f t="shared" si="6"/>
        <v>191.92599999999948</v>
      </c>
      <c r="N29" s="78">
        <f t="shared" si="6"/>
        <v>3389.495999999999</v>
      </c>
      <c r="O29" s="77">
        <f t="shared" si="6"/>
        <v>-378.4340000000011</v>
      </c>
      <c r="P29" s="78">
        <f t="shared" si="6"/>
        <v>-10920.135500000002</v>
      </c>
      <c r="Q29" s="77">
        <f t="shared" si="6"/>
        <v>-1267.775500000001</v>
      </c>
      <c r="R29" s="78">
        <f t="shared" si="6"/>
        <v>159.85750000000053</v>
      </c>
      <c r="S29" s="77">
        <f t="shared" si="6"/>
        <v>3591.664499999987</v>
      </c>
      <c r="T29" s="78">
        <f t="shared" si="6"/>
        <v>-938.1754999999948</v>
      </c>
      <c r="U29" s="77">
        <f t="shared" si="6"/>
        <v>-11600.605500000001</v>
      </c>
      <c r="V29" s="78">
        <f t="shared" si="6"/>
        <v>1846.2844999999897</v>
      </c>
      <c r="W29" s="77">
        <f t="shared" si="6"/>
        <v>-1641.2670000000103</v>
      </c>
      <c r="X29" s="80">
        <f t="shared" si="3"/>
        <v>-19332.778500000037</v>
      </c>
      <c r="Y29" s="96"/>
    </row>
    <row r="30" spans="1:25" ht="26.25" customHeight="1" thickBot="1">
      <c r="A30" s="90" t="s">
        <v>39</v>
      </c>
      <c r="B30" s="107" t="s">
        <v>23</v>
      </c>
      <c r="C30" s="108">
        <v>38809.33</v>
      </c>
      <c r="D30" s="109">
        <v>122669.38</v>
      </c>
      <c r="E30" s="102">
        <f>SUM(E8-E11)</f>
        <v>91665.3500000001</v>
      </c>
      <c r="F30" s="103">
        <f>SUM(F8-F11)</f>
        <v>72893.11000000004</v>
      </c>
      <c r="G30" s="103">
        <f>SUM(G8-G11)</f>
        <v>8327.770000000135</v>
      </c>
      <c r="H30" s="110">
        <f>SUM(H8-H11)-H28</f>
        <v>56583.999999999956</v>
      </c>
      <c r="I30" s="110">
        <f>SUM(I8-I11)-I28</f>
        <v>-39991.45649999997</v>
      </c>
      <c r="J30" s="110">
        <f>SUM(J8-J11)-J28</f>
        <v>-17934.57300000005</v>
      </c>
      <c r="K30" s="110">
        <f>SUM(K8+K9+K10-K11)-K28</f>
        <v>-37479.69550000013</v>
      </c>
      <c r="L30" s="111">
        <f>SUM(L8+L9+L10-L11)-L28</f>
        <v>-1765.6140000000014</v>
      </c>
      <c r="M30" s="110">
        <f>SUM(M29+L30)</f>
        <v>-1573.688000000002</v>
      </c>
      <c r="N30" s="111">
        <f aca="true" t="shared" si="7" ref="N30:W30">SUM(N29+M30)</f>
        <v>1815.8079999999973</v>
      </c>
      <c r="O30" s="110">
        <f t="shared" si="7"/>
        <v>1437.3739999999962</v>
      </c>
      <c r="P30" s="111">
        <f t="shared" si="7"/>
        <v>-9482.761500000006</v>
      </c>
      <c r="Q30" s="110">
        <f t="shared" si="7"/>
        <v>-10750.537000000008</v>
      </c>
      <c r="R30" s="111">
        <f t="shared" si="7"/>
        <v>-10590.679500000007</v>
      </c>
      <c r="S30" s="110">
        <f t="shared" si="7"/>
        <v>-6999.01500000002</v>
      </c>
      <c r="T30" s="111">
        <f t="shared" si="7"/>
        <v>-7937.190500000015</v>
      </c>
      <c r="U30" s="110">
        <f t="shared" si="7"/>
        <v>-19537.796000000017</v>
      </c>
      <c r="V30" s="111">
        <f t="shared" si="7"/>
        <v>-17691.511500000026</v>
      </c>
      <c r="W30" s="112">
        <f t="shared" si="7"/>
        <v>-19332.778500000037</v>
      </c>
      <c r="X30" s="103"/>
      <c r="Y30" s="116"/>
    </row>
    <row r="31" spans="1:25" ht="24" customHeight="1" hidden="1" thickBot="1">
      <c r="A31" s="88" t="s">
        <v>40</v>
      </c>
      <c r="B31" s="41" t="s">
        <v>24</v>
      </c>
      <c r="C31" s="37">
        <v>38809.33</v>
      </c>
      <c r="D31" s="41">
        <v>161478.71</v>
      </c>
      <c r="E31" s="89">
        <f>SUM(E8-E11,D31)</f>
        <v>253144.06000000008</v>
      </c>
      <c r="F31" s="55">
        <f>SUM(F8-F11,E31)</f>
        <v>326037.17000000016</v>
      </c>
      <c r="G31" s="55">
        <f>SUM(G8-G11,F31)</f>
        <v>334364.9400000003</v>
      </c>
      <c r="H31" s="81">
        <f>SUM(H30+G31)</f>
        <v>390948.94000000024</v>
      </c>
      <c r="I31" s="81">
        <f>SUM(I30+H31)</f>
        <v>350957.48350000026</v>
      </c>
      <c r="J31" s="81">
        <f>SUM(J30+I31)</f>
        <v>333022.91050000023</v>
      </c>
      <c r="K31" s="81">
        <f>SUM(K30+J31)-0.21</f>
        <v>295543.00500000006</v>
      </c>
      <c r="L31" s="81">
        <f>SUM(L30+K31)</f>
        <v>293777.39100000006</v>
      </c>
      <c r="M31" s="81">
        <f>SUM(M29+L31)</f>
        <v>293969.31700000004</v>
      </c>
      <c r="N31" s="79">
        <f aca="true" t="shared" si="8" ref="N31:V31">SUM(N29+M31)</f>
        <v>297358.813</v>
      </c>
      <c r="O31" s="81">
        <f t="shared" si="8"/>
        <v>296980.379</v>
      </c>
      <c r="P31" s="79">
        <f t="shared" si="8"/>
        <v>286060.24350000004</v>
      </c>
      <c r="Q31" s="81">
        <f t="shared" si="8"/>
        <v>284792.46800000005</v>
      </c>
      <c r="R31" s="79">
        <f>SUM(R29+Q31)</f>
        <v>284952.32550000004</v>
      </c>
      <c r="S31" s="81">
        <f t="shared" si="8"/>
        <v>288543.99000000005</v>
      </c>
      <c r="T31" s="79">
        <f t="shared" si="8"/>
        <v>287605.81450000004</v>
      </c>
      <c r="U31" s="81">
        <f t="shared" si="8"/>
        <v>276005.20900000003</v>
      </c>
      <c r="V31" s="79">
        <f t="shared" si="8"/>
        <v>277851.49350000004</v>
      </c>
      <c r="W31" s="85">
        <f>SUM(W29+V31)</f>
        <v>276210.22650000005</v>
      </c>
      <c r="X31" s="55"/>
      <c r="Y31" s="49"/>
    </row>
    <row r="32" spans="1:25" ht="13.5" customHeight="1" hidden="1" thickBot="1">
      <c r="A32" s="34" t="s">
        <v>40</v>
      </c>
      <c r="B32" s="40"/>
      <c r="C32" s="37"/>
      <c r="D32" s="41"/>
      <c r="E32" s="41"/>
      <c r="F32" s="37"/>
      <c r="G32" s="37"/>
      <c r="H32" s="37"/>
      <c r="I32" s="37"/>
      <c r="J32" s="37"/>
      <c r="K32" s="37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8"/>
      <c r="X32" s="54"/>
      <c r="Y32" s="50"/>
    </row>
    <row r="33" spans="1:25" ht="15" customHeight="1" hidden="1" thickBot="1">
      <c r="A33" s="34" t="s">
        <v>41</v>
      </c>
      <c r="B33" s="31"/>
      <c r="C33" s="37"/>
      <c r="D33" s="41"/>
      <c r="E33" s="41"/>
      <c r="F33" s="37"/>
      <c r="G33" s="37"/>
      <c r="H33" s="37"/>
      <c r="I33" s="37"/>
      <c r="J33" s="37"/>
      <c r="K33" s="37"/>
      <c r="L33" s="13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8"/>
      <c r="X33" s="55"/>
      <c r="Y33" s="51"/>
    </row>
    <row r="34" spans="1:25" ht="12" customHeight="1" hidden="1" thickBot="1">
      <c r="A34" s="35" t="s">
        <v>42</v>
      </c>
      <c r="B34" s="32"/>
      <c r="C34" s="38"/>
      <c r="D34" s="42"/>
      <c r="E34" s="42"/>
      <c r="F34" s="38"/>
      <c r="G34" s="38"/>
      <c r="H34" s="38"/>
      <c r="I34" s="38"/>
      <c r="J34" s="38"/>
      <c r="K34" s="38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3"/>
      <c r="X34" s="56"/>
      <c r="Y34" s="52"/>
    </row>
    <row r="35" spans="1:25" ht="14.25" customHeight="1" hidden="1" thickBot="1">
      <c r="A35" s="35" t="s">
        <v>45</v>
      </c>
      <c r="B35" s="32"/>
      <c r="C35" s="38"/>
      <c r="D35" s="42"/>
      <c r="E35" s="42"/>
      <c r="F35" s="38"/>
      <c r="G35" s="38"/>
      <c r="H35" s="38"/>
      <c r="I35" s="38"/>
      <c r="J35" s="38"/>
      <c r="K35" s="38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3"/>
      <c r="X35" s="56"/>
      <c r="Y35" s="52"/>
    </row>
    <row r="36" spans="2:25" ht="12" customHeight="1">
      <c r="B36" t="s">
        <v>49</v>
      </c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86"/>
      <c r="Y36" s="21"/>
    </row>
    <row r="37" ht="12" customHeight="1">
      <c r="X37" s="91"/>
    </row>
    <row r="38" ht="12.75" hidden="1"/>
    <row r="39" ht="12.75" hidden="1"/>
    <row r="40" ht="12.75" hidden="1"/>
    <row r="45" ht="12.75" customHeight="1"/>
    <row r="46" ht="12.75" customHeight="1"/>
  </sheetData>
  <sheetProtection/>
  <mergeCells count="5">
    <mergeCell ref="B4:Y4"/>
    <mergeCell ref="B5:Y5"/>
    <mergeCell ref="B3:Y3"/>
    <mergeCell ref="B1:N1"/>
    <mergeCell ref="B2:U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2019-02-11T10:30:20Z</cp:lastPrinted>
  <dcterms:created xsi:type="dcterms:W3CDTF">2011-06-16T11:06:26Z</dcterms:created>
  <dcterms:modified xsi:type="dcterms:W3CDTF">2019-02-14T05:27:35Z</dcterms:modified>
  <cp:category/>
  <cp:version/>
  <cp:contentType/>
  <cp:contentStatus/>
</cp:coreProperties>
</file>