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<sst xmlns="http://schemas.openxmlformats.org/spreadsheetml/2006/main" count="70" uniqueCount="69">
  <si>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</si>
  <si>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</si>
  <si>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</si>
  <si>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</si>
  <si>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</si>
  <si>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</si>
  <si>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</si>
  <si>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</si>
  <si>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</si>
  <si>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</si>
  <si>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</si>
  <si>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</si>
  <si>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</si>
  <si>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</si>
  <si>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</si>
  <si>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</si>
  <si>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</si>
  <si>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</si>
  <si>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</si>
  <si>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</si>
  <si>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</si>
  <si>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</si>
  <si>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</si>
  <si>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</si>
  <si>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</si>
  <si>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</si>
  <si>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</si>
  <si>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</si>
  <si>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</si>
  <si>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</si>
  <si>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</si>
  <si>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</si>
  <si>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</si>
  <si>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</si>
  <si>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</si>
  <si>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</si>
  <si>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</si>
  <si>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</si>
  <si>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</si>
  <si>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</si>
  <si>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</si>
  <si>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</si>
  <si>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</si>
  <si>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</si>
  <si>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</si>
  <si>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</si>
  <si>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</si>
  <si>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</si>
  <si>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Первомайская д.5</t>
  </si>
  <si>
    <t>Итого за 2011 г</t>
  </si>
  <si>
    <t>Результат за месяц</t>
  </si>
  <si>
    <t>Исполнитель /Викторова Л.С./</t>
  </si>
  <si>
    <t>Дом по ул.Первомайская д.5 вступил в ООО "Наш дом" с октября 2009 года                     тариф 8,3 руб</t>
  </si>
  <si>
    <t>Благоустройство территории</t>
  </si>
  <si>
    <t>Итого за 2012 г</t>
  </si>
  <si>
    <t>4.12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</si>
  <si>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</si>
  <si>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</si>
  <si>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</si>
  <si>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</si>
  <si>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</si>
  <si>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</si>
  <si>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</si>
  <si>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</si>
  <si>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</si>
  <si>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 г</t>
  </si>
  <si>
    <t>Итого за 2017 г</t>
  </si>
  <si>
    <t>Итого за 2018 г</t>
  </si>
  <si>
    <t>Всего за 2009-2018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</si>
</sst>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42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6" fillId="0" borderId="37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0" fontId="19" fillId="0" borderId="47" xfId="0" applyFont="1" applyBorder="1" applyAlignment="1">
      <alignment horizontal="center" vertical="center" wrapText="1"/>
    </xf>
    <xf numFmtId="2" fontId="21" fillId="0" borderId="34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35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50" xfId="0" applyNumberFormat="1" applyBorder="1" applyAlignment="1">
      <alignment horizontal="center"/>
    </xf>
    <xf numFmtId="2" fontId="21" fillId="0" borderId="51" xfId="0" applyNumberFormat="1" applyFont="1" applyBorder="1" applyAlignment="1">
      <alignment/>
    </xf>
    <xf numFmtId="49" fontId="0" fillId="0" borderId="38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36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2" fontId="28" fillId="0" borderId="34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PageLayoutView="0" workbookViewId="0" topLeftCell="A7">
      <selection activeCell="A22" sqref="A22:Y22"/>
    </sheetView>
  </sheetViews>
  <sheetFormatPr defaultColWidth="9.00390625" defaultRowHeight="12.75"/>
  <cols>
    <col min="1" max="1" width="3.625" style="25" customWidth="1"/>
    <col min="2" max="2" width="19.25390625" style="0" customWidth="1"/>
    <col min="3" max="3" width="7.25390625" style="0" hidden="1" customWidth="1"/>
    <col min="4" max="5" width="7.375" style="0" hidden="1" customWidth="1"/>
    <col min="6" max="6" width="9.625" style="0" hidden="1" customWidth="1"/>
    <col min="7" max="7" width="9.375" style="0" hidden="1" customWidth="1"/>
    <col min="8" max="8" width="8.75390625" style="0" hidden="1" customWidth="1"/>
    <col min="9" max="9" width="8.375" style="0" hidden="1" customWidth="1"/>
    <col min="10" max="10" width="9.00390625" style="0" hidden="1" customWidth="1"/>
    <col min="11" max="11" width="9.375" style="0" hidden="1" customWidth="1"/>
    <col min="12" max="12" width="8.25390625" style="0" customWidth="1"/>
    <col min="13" max="13" width="8.875" style="0" customWidth="1"/>
    <col min="14" max="14" width="8.25390625" style="0" customWidth="1"/>
    <col min="15" max="15" width="8.00390625" style="0" customWidth="1"/>
    <col min="16" max="16" width="8.625" style="0" customWidth="1"/>
    <col min="17" max="17" width="9.25390625" style="0" customWidth="1"/>
    <col min="18" max="19" width="8.125" style="0" customWidth="1"/>
    <col min="20" max="20" width="8.75390625" style="0" customWidth="1"/>
    <col min="21" max="21" width="8.00390625" style="0" customWidth="1"/>
    <col min="22" max="22" width="8.875" style="0" customWidth="1"/>
    <col min="23" max="24" width="9.375" style="0" customWidth="1"/>
    <col min="25" max="25" width="9.875" style="0" customWidth="1"/>
  </cols>
  <sheetData>
    <row r="1" spans="2:30" ht="12.75" customHeight="1">
      <c r="B1" s="91" t="s">
        <v>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1" t="s">
        <v>52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4"/>
      <c r="W2" s="4"/>
      <c r="X2" s="4"/>
      <c r="Y2" s="4"/>
      <c r="Z2" s="4"/>
      <c r="AA2" s="4"/>
      <c r="AB2" s="4"/>
      <c r="AC2" s="4"/>
      <c r="AD2" s="4"/>
    </row>
    <row r="3" spans="2:30" ht="12.75" customHeight="1">
      <c r="B3" s="90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3"/>
      <c r="AA3" s="3"/>
      <c r="AB3" s="3"/>
      <c r="AC3" s="3"/>
      <c r="AD3" s="3"/>
    </row>
    <row r="4" spans="2:30" ht="15" customHeight="1">
      <c r="B4" s="89" t="s">
        <v>10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2"/>
      <c r="AA4" s="2"/>
      <c r="AB4" s="2"/>
      <c r="AC4" s="2"/>
      <c r="AD4" s="2"/>
    </row>
    <row r="5" spans="2:30" ht="15" customHeight="1" thickBot="1">
      <c r="B5" s="89" t="s">
        <v>48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9.75" customHeight="1" thickBot="1">
      <c r="A7" s="33" t="s">
        <v>27</v>
      </c>
      <c r="B7" s="26" t="s">
        <v>6</v>
      </c>
      <c r="C7" s="36" t="s">
        <v>44</v>
      </c>
      <c r="D7" s="39" t="s">
        <v>45</v>
      </c>
      <c r="E7" s="53" t="s">
        <v>49</v>
      </c>
      <c r="F7" s="53" t="s">
        <v>54</v>
      </c>
      <c r="G7" s="53" t="s">
        <v>56</v>
      </c>
      <c r="H7" s="77" t="s">
        <v>57</v>
      </c>
      <c r="I7" s="53" t="s">
        <v>60</v>
      </c>
      <c r="J7" s="53" t="s">
        <v>65</v>
      </c>
      <c r="K7" s="53" t="s">
        <v>66</v>
      </c>
      <c r="L7" s="6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22</v>
      </c>
      <c r="W7" s="15" t="s">
        <v>21</v>
      </c>
      <c r="X7" s="53" t="s">
        <v>67</v>
      </c>
      <c r="Y7" s="49" t="s">
        <v>68</v>
      </c>
      <c r="Z7" s="1"/>
      <c r="AA7" s="1"/>
      <c r="AB7" s="1"/>
      <c r="AC7" s="1"/>
      <c r="AD7" s="1"/>
    </row>
    <row r="8" spans="1:25" ht="16.5" customHeight="1" thickBot="1">
      <c r="A8" s="34" t="s">
        <v>28</v>
      </c>
      <c r="B8" s="27" t="s">
        <v>1</v>
      </c>
      <c r="C8" s="61">
        <v>5024.82</v>
      </c>
      <c r="D8" s="62">
        <v>22162.79</v>
      </c>
      <c r="E8" s="63">
        <v>20278.56</v>
      </c>
      <c r="F8" s="62">
        <v>20637.12</v>
      </c>
      <c r="G8" s="62">
        <v>20637.12</v>
      </c>
      <c r="H8" s="63">
        <v>20637.12</v>
      </c>
      <c r="I8" s="62">
        <v>20714.31</v>
      </c>
      <c r="J8" s="62">
        <v>20726.76</v>
      </c>
      <c r="K8" s="62">
        <v>20726.76</v>
      </c>
      <c r="L8" s="7">
        <v>1727.23</v>
      </c>
      <c r="M8" s="8">
        <v>1727.23</v>
      </c>
      <c r="N8" s="8">
        <v>1727.23</v>
      </c>
      <c r="O8" s="8">
        <v>1727.23</v>
      </c>
      <c r="P8" s="8">
        <v>1727.23</v>
      </c>
      <c r="Q8" s="8">
        <v>1727.23</v>
      </c>
      <c r="R8" s="8">
        <v>1727.23</v>
      </c>
      <c r="S8" s="8">
        <v>1727.23</v>
      </c>
      <c r="T8" s="8">
        <v>1727.23</v>
      </c>
      <c r="U8" s="8">
        <v>1727.23</v>
      </c>
      <c r="V8" s="8">
        <v>1727.23</v>
      </c>
      <c r="W8" s="16">
        <v>1726.53</v>
      </c>
      <c r="X8" s="57">
        <f>SUM(L8:W8)</f>
        <v>20726.059999999998</v>
      </c>
      <c r="Y8" s="74">
        <f>SUM(C8:W8)</f>
        <v>192271.4200000001</v>
      </c>
    </row>
    <row r="9" spans="1:25" s="87" customFormat="1" ht="17.25" customHeight="1" thickBot="1">
      <c r="A9" s="80" t="s">
        <v>29</v>
      </c>
      <c r="B9" s="81" t="s">
        <v>2</v>
      </c>
      <c r="C9" s="82">
        <f aca="true" t="shared" si="0" ref="C9:L9">SUM(C10:C19)</f>
        <v>3736.3999999999996</v>
      </c>
      <c r="D9" s="83">
        <f t="shared" si="0"/>
        <v>20211.37</v>
      </c>
      <c r="E9" s="82">
        <f t="shared" si="0"/>
        <v>19035.129999999997</v>
      </c>
      <c r="F9" s="83">
        <f t="shared" si="0"/>
        <v>20563.34</v>
      </c>
      <c r="G9" s="83">
        <f t="shared" si="0"/>
        <v>27560.05</v>
      </c>
      <c r="H9" s="84">
        <f>SUM(H10:H19)</f>
        <v>24702.72</v>
      </c>
      <c r="I9" s="83">
        <f>SUM(I10:I19)</f>
        <v>12631.28</v>
      </c>
      <c r="J9" s="83">
        <f>SUM(J10:J19)</f>
        <v>21014.759999999995</v>
      </c>
      <c r="K9" s="83">
        <f>SUM(K10:K19)</f>
        <v>19265.46</v>
      </c>
      <c r="L9" s="85">
        <f t="shared" si="0"/>
        <v>1801.65</v>
      </c>
      <c r="M9" s="85">
        <f aca="true" t="shared" si="1" ref="M9:W9">SUM(M10:M19)</f>
        <v>1644.54</v>
      </c>
      <c r="N9" s="85">
        <f t="shared" si="1"/>
        <v>1814.7</v>
      </c>
      <c r="O9" s="85">
        <f t="shared" si="1"/>
        <v>1632.59</v>
      </c>
      <c r="P9" s="85">
        <f t="shared" si="1"/>
        <v>1616.6600000000003</v>
      </c>
      <c r="Q9" s="85">
        <f t="shared" si="1"/>
        <v>1806.91</v>
      </c>
      <c r="R9" s="85">
        <f t="shared" si="1"/>
        <v>1671.5699999999997</v>
      </c>
      <c r="S9" s="85">
        <f t="shared" si="1"/>
        <v>1627.61</v>
      </c>
      <c r="T9" s="85">
        <f t="shared" si="1"/>
        <v>1724.8</v>
      </c>
      <c r="U9" s="85">
        <f t="shared" si="1"/>
        <v>1694.29</v>
      </c>
      <c r="V9" s="85">
        <f t="shared" si="1"/>
        <v>1808.21</v>
      </c>
      <c r="W9" s="82">
        <f t="shared" si="1"/>
        <v>1857.13</v>
      </c>
      <c r="X9" s="83">
        <f>SUM(L9:W9)</f>
        <v>20700.66</v>
      </c>
      <c r="Y9" s="86">
        <f>SUM(C9:W9)</f>
        <v>189421.16999999998</v>
      </c>
    </row>
    <row r="10" spans="1:25" ht="15.75" customHeight="1" thickBot="1">
      <c r="A10" s="34" t="s">
        <v>30</v>
      </c>
      <c r="B10" s="28" t="s">
        <v>4</v>
      </c>
      <c r="C10" s="43">
        <v>1440.32</v>
      </c>
      <c r="D10" s="44">
        <v>7254.41</v>
      </c>
      <c r="E10" s="64">
        <v>4547.59</v>
      </c>
      <c r="F10" s="44">
        <v>5954.56</v>
      </c>
      <c r="G10" s="44">
        <v>6076.41</v>
      </c>
      <c r="H10" s="64">
        <v>6883.85</v>
      </c>
      <c r="I10" s="44">
        <v>6906.21</v>
      </c>
      <c r="J10" s="44">
        <v>6762.45</v>
      </c>
      <c r="K10" s="44">
        <v>6718.53</v>
      </c>
      <c r="L10" s="7">
        <f>530+20.94</f>
        <v>550.94</v>
      </c>
      <c r="M10" s="8">
        <f>530+22.97</f>
        <v>552.97</v>
      </c>
      <c r="N10" s="8">
        <f>530+16.31</f>
        <v>546.31</v>
      </c>
      <c r="O10" s="8">
        <f>530+45.96</f>
        <v>575.96</v>
      </c>
      <c r="P10" s="8">
        <f>530+42.94</f>
        <v>572.94</v>
      </c>
      <c r="Q10" s="8">
        <f>530+44.1</f>
        <v>574.1</v>
      </c>
      <c r="R10" s="8">
        <f>530+37.63</f>
        <v>567.63</v>
      </c>
      <c r="S10" s="8">
        <f>530+47.58</f>
        <v>577.58</v>
      </c>
      <c r="T10" s="8">
        <f>530+35.37</f>
        <v>565.37</v>
      </c>
      <c r="U10" s="8">
        <f>530+28.7</f>
        <v>558.7</v>
      </c>
      <c r="V10" s="8">
        <f>530+33.31</f>
        <v>563.31</v>
      </c>
      <c r="W10" s="16">
        <f>530+30.62</f>
        <v>560.62</v>
      </c>
      <c r="X10" s="55">
        <f aca="true" t="shared" si="2" ref="X10:X21">SUM(L10:W10)</f>
        <v>6766.429999999999</v>
      </c>
      <c r="Y10" s="75">
        <f aca="true" t="shared" si="3" ref="Y10:Y19">SUM(C10:W10)</f>
        <v>59310.759999999995</v>
      </c>
    </row>
    <row r="11" spans="1:25" ht="14.25" customHeight="1" thickBot="1">
      <c r="A11" s="34" t="s">
        <v>31</v>
      </c>
      <c r="B11" s="29" t="s">
        <v>61</v>
      </c>
      <c r="C11" s="45">
        <v>2021.33</v>
      </c>
      <c r="D11" s="46">
        <v>6141.37</v>
      </c>
      <c r="E11" s="65">
        <v>2167.15</v>
      </c>
      <c r="F11" s="46">
        <v>310.33</v>
      </c>
      <c r="G11" s="46">
        <v>3922.25</v>
      </c>
      <c r="H11" s="65">
        <v>235.3</v>
      </c>
      <c r="I11" s="46">
        <v>646.87</v>
      </c>
      <c r="J11" s="46">
        <v>17.7</v>
      </c>
      <c r="K11" s="46">
        <v>0</v>
      </c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7"/>
      <c r="X11" s="55">
        <f t="shared" si="2"/>
        <v>0</v>
      </c>
      <c r="Y11" s="75">
        <f t="shared" si="3"/>
        <v>15462.300000000001</v>
      </c>
    </row>
    <row r="12" spans="1:25" ht="15.75" customHeight="1" thickBot="1">
      <c r="A12" s="34" t="s">
        <v>32</v>
      </c>
      <c r="B12" s="29" t="s">
        <v>58</v>
      </c>
      <c r="C12" s="45">
        <v>0</v>
      </c>
      <c r="D12" s="46">
        <v>74.42</v>
      </c>
      <c r="E12" s="65">
        <v>188.53</v>
      </c>
      <c r="F12" s="46">
        <v>116.03</v>
      </c>
      <c r="G12" s="46">
        <v>3070.12</v>
      </c>
      <c r="H12" s="65">
        <v>3129.7</v>
      </c>
      <c r="I12" s="46">
        <v>-2896.65</v>
      </c>
      <c r="J12" s="46">
        <v>584.01</v>
      </c>
      <c r="K12" s="46">
        <v>95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7"/>
      <c r="X12" s="55">
        <f t="shared" si="2"/>
        <v>0</v>
      </c>
      <c r="Y12" s="75">
        <f t="shared" si="3"/>
        <v>4361.159999999999</v>
      </c>
    </row>
    <row r="13" spans="1:25" ht="24" customHeight="1" thickBot="1">
      <c r="A13" s="34" t="s">
        <v>33</v>
      </c>
      <c r="B13" s="29" t="s">
        <v>53</v>
      </c>
      <c r="C13" s="45">
        <v>0</v>
      </c>
      <c r="D13" s="46">
        <v>0</v>
      </c>
      <c r="E13" s="65">
        <v>0</v>
      </c>
      <c r="F13" s="46">
        <v>256</v>
      </c>
      <c r="G13" s="46">
        <v>0</v>
      </c>
      <c r="H13" s="65">
        <v>5.33</v>
      </c>
      <c r="I13" s="46">
        <v>0</v>
      </c>
      <c r="J13" s="46">
        <v>51</v>
      </c>
      <c r="K13" s="46">
        <v>0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7"/>
      <c r="X13" s="55">
        <f t="shared" si="2"/>
        <v>0</v>
      </c>
      <c r="Y13" s="75">
        <f t="shared" si="3"/>
        <v>312.33</v>
      </c>
    </row>
    <row r="14" spans="1:25" ht="22.5" customHeight="1" thickBot="1">
      <c r="A14" s="34" t="s">
        <v>34</v>
      </c>
      <c r="B14" s="29" t="s">
        <v>5</v>
      </c>
      <c r="C14" s="45">
        <v>26.32</v>
      </c>
      <c r="D14" s="46">
        <v>691.11</v>
      </c>
      <c r="E14" s="65">
        <v>31.25</v>
      </c>
      <c r="F14" s="46">
        <v>0</v>
      </c>
      <c r="G14" s="46">
        <v>0</v>
      </c>
      <c r="H14" s="65"/>
      <c r="I14" s="46">
        <v>0</v>
      </c>
      <c r="J14" s="46">
        <v>0</v>
      </c>
      <c r="K14" s="46">
        <v>0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7"/>
      <c r="X14" s="55">
        <f t="shared" si="2"/>
        <v>0</v>
      </c>
      <c r="Y14" s="75">
        <f t="shared" si="3"/>
        <v>748.6800000000001</v>
      </c>
    </row>
    <row r="15" spans="1:25" ht="36" customHeight="1" thickBot="1">
      <c r="A15" s="34" t="s">
        <v>35</v>
      </c>
      <c r="B15" s="29" t="s">
        <v>62</v>
      </c>
      <c r="C15" s="45">
        <v>0</v>
      </c>
      <c r="D15" s="46">
        <v>274.84</v>
      </c>
      <c r="E15" s="65">
        <v>991.12</v>
      </c>
      <c r="F15" s="46">
        <v>1268.06</v>
      </c>
      <c r="G15" s="46">
        <v>1121.3</v>
      </c>
      <c r="H15" s="65">
        <v>844.31</v>
      </c>
      <c r="I15" s="46">
        <v>999.86</v>
      </c>
      <c r="J15" s="46">
        <v>1057.62</v>
      </c>
      <c r="K15" s="46">
        <v>1074.49</v>
      </c>
      <c r="L15" s="9">
        <v>93.72</v>
      </c>
      <c r="M15" s="10">
        <v>85.98</v>
      </c>
      <c r="N15" s="10">
        <v>114.66</v>
      </c>
      <c r="O15" s="10">
        <v>89.41</v>
      </c>
      <c r="P15" s="10">
        <v>75.2</v>
      </c>
      <c r="Q15" s="10">
        <v>109</v>
      </c>
      <c r="R15" s="10">
        <v>88.66</v>
      </c>
      <c r="S15" s="10">
        <v>90.67</v>
      </c>
      <c r="T15" s="10">
        <v>74.52</v>
      </c>
      <c r="U15" s="10">
        <v>111.86</v>
      </c>
      <c r="V15" s="10">
        <v>98.89</v>
      </c>
      <c r="W15" s="17">
        <v>96.57</v>
      </c>
      <c r="X15" s="55">
        <f t="shared" si="2"/>
        <v>1129.1399999999999</v>
      </c>
      <c r="Y15" s="75">
        <f t="shared" si="3"/>
        <v>8760.739999999998</v>
      </c>
    </row>
    <row r="16" spans="1:25" ht="35.25" customHeight="1" thickBot="1">
      <c r="A16" s="34" t="s">
        <v>36</v>
      </c>
      <c r="B16" s="29" t="s">
        <v>63</v>
      </c>
      <c r="C16" s="45">
        <v>97.6</v>
      </c>
      <c r="D16" s="46">
        <v>457.66</v>
      </c>
      <c r="E16" s="65">
        <v>537.25</v>
      </c>
      <c r="F16" s="46">
        <v>164.27</v>
      </c>
      <c r="G16" s="46">
        <v>116.8</v>
      </c>
      <c r="H16" s="65">
        <v>253.99</v>
      </c>
      <c r="I16" s="46">
        <v>172.26</v>
      </c>
      <c r="J16" s="46">
        <v>150.46</v>
      </c>
      <c r="K16" s="46">
        <v>117.52</v>
      </c>
      <c r="L16" s="9">
        <v>9.26</v>
      </c>
      <c r="M16" s="10">
        <v>6.22</v>
      </c>
      <c r="N16" s="10">
        <v>4.42</v>
      </c>
      <c r="O16" s="10">
        <v>6.21</v>
      </c>
      <c r="P16" s="10">
        <v>5.76</v>
      </c>
      <c r="Q16" s="10">
        <v>6.87</v>
      </c>
      <c r="R16" s="10">
        <v>21.01</v>
      </c>
      <c r="S16" s="10">
        <v>5.38</v>
      </c>
      <c r="T16" s="10">
        <v>6.66</v>
      </c>
      <c r="U16" s="10">
        <v>5.77</v>
      </c>
      <c r="V16" s="10">
        <v>27.58</v>
      </c>
      <c r="W16" s="17">
        <v>8.77</v>
      </c>
      <c r="X16" s="55">
        <f t="shared" si="2"/>
        <v>113.90999999999998</v>
      </c>
      <c r="Y16" s="75">
        <f t="shared" si="3"/>
        <v>2181.7200000000003</v>
      </c>
    </row>
    <row r="17" spans="1:25" ht="33.75" customHeight="1" thickBot="1">
      <c r="A17" s="34" t="s">
        <v>37</v>
      </c>
      <c r="B17" s="29" t="s">
        <v>64</v>
      </c>
      <c r="C17" s="45">
        <v>0</v>
      </c>
      <c r="D17" s="46">
        <v>147.38</v>
      </c>
      <c r="E17" s="65">
        <v>853.55</v>
      </c>
      <c r="F17" s="46">
        <v>863.95</v>
      </c>
      <c r="G17" s="46">
        <v>1145.6</v>
      </c>
      <c r="H17" s="65">
        <v>984.84</v>
      </c>
      <c r="I17" s="46">
        <v>1294.48</v>
      </c>
      <c r="J17" s="46">
        <v>1100.5</v>
      </c>
      <c r="K17" s="46">
        <v>1159.17</v>
      </c>
      <c r="L17" s="9">
        <f>4.64+33.16+51.22</f>
        <v>89.02</v>
      </c>
      <c r="M17" s="10">
        <f>48.63+5.08+44.85</f>
        <v>98.56</v>
      </c>
      <c r="N17" s="10">
        <f>49.26+5.04+48.68</f>
        <v>102.97999999999999</v>
      </c>
      <c r="O17" s="10">
        <f>51.89+5.1+37.92</f>
        <v>94.91</v>
      </c>
      <c r="P17" s="10">
        <f>62.91+4.59+29.59</f>
        <v>97.09</v>
      </c>
      <c r="Q17" s="10">
        <f>50.52+4.3+28.24</f>
        <v>83.06</v>
      </c>
      <c r="R17" s="10">
        <f>4.84+32.81+63.76</f>
        <v>101.41</v>
      </c>
      <c r="S17" s="10">
        <f>5.14+49.87+49.43</f>
        <v>104.44</v>
      </c>
      <c r="T17" s="10">
        <f>57.59+4.04+38.57</f>
        <v>100.2</v>
      </c>
      <c r="U17" s="10">
        <f>5.4+69.4+56.14</f>
        <v>130.94</v>
      </c>
      <c r="V17" s="10">
        <f>4.42+38.71+80.42</f>
        <v>123.55000000000001</v>
      </c>
      <c r="W17" s="17">
        <f>73.02+5.11+65.52</f>
        <v>143.64999999999998</v>
      </c>
      <c r="X17" s="55">
        <f t="shared" si="2"/>
        <v>1269.81</v>
      </c>
      <c r="Y17" s="75">
        <f t="shared" si="3"/>
        <v>8819.280000000002</v>
      </c>
    </row>
    <row r="18" spans="1:25" ht="20.25" customHeight="1" thickBot="1">
      <c r="A18" s="34" t="s">
        <v>38</v>
      </c>
      <c r="B18" s="29" t="s">
        <v>9</v>
      </c>
      <c r="C18" s="45">
        <v>99.86</v>
      </c>
      <c r="D18" s="46">
        <v>4456.34</v>
      </c>
      <c r="E18" s="65">
        <v>8371.18</v>
      </c>
      <c r="F18" s="46">
        <v>10746.32</v>
      </c>
      <c r="G18" s="46">
        <v>11318.37</v>
      </c>
      <c r="H18" s="65">
        <v>11586.15</v>
      </c>
      <c r="I18" s="46">
        <v>4726.35</v>
      </c>
      <c r="J18" s="46">
        <v>10508.38</v>
      </c>
      <c r="K18" s="46">
        <v>9328.08</v>
      </c>
      <c r="L18" s="9">
        <f>2001.65-818.13-200</f>
        <v>983.52</v>
      </c>
      <c r="M18" s="10">
        <f>1444.54-808.95+200</f>
        <v>835.5899999999999</v>
      </c>
      <c r="N18" s="10">
        <f>1614.7-833.59+200</f>
        <v>981.11</v>
      </c>
      <c r="O18" s="10">
        <f>1632.59-821.74</f>
        <v>810.8499999999999</v>
      </c>
      <c r="P18" s="10">
        <f>1616.66-836.14</f>
        <v>780.5200000000001</v>
      </c>
      <c r="Q18" s="10">
        <f>1606.91-833.51+200</f>
        <v>973.4000000000001</v>
      </c>
      <c r="R18" s="10">
        <f>1671.57-841.82</f>
        <v>829.7499999999999</v>
      </c>
      <c r="S18" s="10">
        <f>1627.61-840.18</f>
        <v>787.43</v>
      </c>
      <c r="T18" s="10">
        <f>1824.8-811.97-100</f>
        <v>912.8299999999999</v>
      </c>
      <c r="U18" s="10">
        <f>1594.29-862.55+100</f>
        <v>831.74</v>
      </c>
      <c r="V18" s="10">
        <f>2008.21-888.52-200</f>
        <v>919.69</v>
      </c>
      <c r="W18" s="17">
        <f>2057.83-874.8-0.7-200</f>
        <v>982.3299999999999</v>
      </c>
      <c r="X18" s="55">
        <f t="shared" si="2"/>
        <v>10628.76</v>
      </c>
      <c r="Y18" s="75">
        <f t="shared" si="3"/>
        <v>81769.79000000001</v>
      </c>
    </row>
    <row r="19" spans="1:25" ht="18" customHeight="1" thickBot="1">
      <c r="A19" s="34" t="s">
        <v>55</v>
      </c>
      <c r="B19" s="30" t="s">
        <v>3</v>
      </c>
      <c r="C19" s="47">
        <v>50.97</v>
      </c>
      <c r="D19" s="48">
        <v>713.84</v>
      </c>
      <c r="E19" s="66">
        <v>1347.51</v>
      </c>
      <c r="F19" s="48">
        <v>883.82</v>
      </c>
      <c r="G19" s="48">
        <v>789.2</v>
      </c>
      <c r="H19" s="66">
        <v>779.25</v>
      </c>
      <c r="I19" s="48">
        <v>781.9</v>
      </c>
      <c r="J19" s="48">
        <v>782.64</v>
      </c>
      <c r="K19" s="48">
        <v>772.67</v>
      </c>
      <c r="L19" s="11">
        <v>75.19</v>
      </c>
      <c r="M19" s="12">
        <f>65.22</f>
        <v>65.22</v>
      </c>
      <c r="N19" s="12">
        <v>65.22</v>
      </c>
      <c r="O19" s="12">
        <v>55.25</v>
      </c>
      <c r="P19" s="12">
        <f>85.15</f>
        <v>85.15</v>
      </c>
      <c r="Q19" s="12">
        <v>60.48</v>
      </c>
      <c r="R19" s="12">
        <v>63.11</v>
      </c>
      <c r="S19" s="12">
        <v>62.11</v>
      </c>
      <c r="T19" s="12">
        <v>65.22</v>
      </c>
      <c r="U19" s="12">
        <v>55.28</v>
      </c>
      <c r="V19" s="12">
        <v>75.19</v>
      </c>
      <c r="W19" s="18">
        <v>65.19</v>
      </c>
      <c r="X19" s="55">
        <f t="shared" si="2"/>
        <v>792.6100000000001</v>
      </c>
      <c r="Y19" s="75">
        <f t="shared" si="3"/>
        <v>7694.409999999998</v>
      </c>
    </row>
    <row r="20" spans="1:25" ht="18" customHeight="1" thickBot="1">
      <c r="A20" s="34"/>
      <c r="B20" s="40" t="s">
        <v>59</v>
      </c>
      <c r="C20" s="68"/>
      <c r="D20" s="69"/>
      <c r="E20" s="70"/>
      <c r="F20" s="69"/>
      <c r="G20" s="69"/>
      <c r="H20" s="78">
        <f>H8*5%</f>
        <v>1031.856</v>
      </c>
      <c r="I20" s="72">
        <f>I8*5%</f>
        <v>1035.7155</v>
      </c>
      <c r="J20" s="72">
        <f>J8*5%</f>
        <v>1036.338</v>
      </c>
      <c r="K20" s="72">
        <f>K8*5%</f>
        <v>1036.338</v>
      </c>
      <c r="L20" s="71">
        <f>L8*5%</f>
        <v>86.3615</v>
      </c>
      <c r="M20" s="71">
        <f aca="true" t="shared" si="4" ref="M20:W20">M8*5%</f>
        <v>86.3615</v>
      </c>
      <c r="N20" s="71">
        <f t="shared" si="4"/>
        <v>86.3615</v>
      </c>
      <c r="O20" s="71">
        <f t="shared" si="4"/>
        <v>86.3615</v>
      </c>
      <c r="P20" s="71">
        <f t="shared" si="4"/>
        <v>86.3615</v>
      </c>
      <c r="Q20" s="71">
        <f t="shared" si="4"/>
        <v>86.3615</v>
      </c>
      <c r="R20" s="71">
        <f t="shared" si="4"/>
        <v>86.3615</v>
      </c>
      <c r="S20" s="71">
        <f t="shared" si="4"/>
        <v>86.3615</v>
      </c>
      <c r="T20" s="71">
        <f t="shared" si="4"/>
        <v>86.3615</v>
      </c>
      <c r="U20" s="71">
        <f t="shared" si="4"/>
        <v>86.3615</v>
      </c>
      <c r="V20" s="71">
        <f t="shared" si="4"/>
        <v>86.3615</v>
      </c>
      <c r="W20" s="71">
        <f t="shared" si="4"/>
        <v>86.32650000000001</v>
      </c>
      <c r="X20" s="72">
        <f t="shared" si="2"/>
        <v>1036.3029999999999</v>
      </c>
      <c r="Y20" s="76"/>
    </row>
    <row r="21" spans="1:25" ht="13.5" customHeight="1" thickBot="1">
      <c r="A21" s="92" t="s">
        <v>39</v>
      </c>
      <c r="B21" s="58" t="s">
        <v>50</v>
      </c>
      <c r="C21" s="59"/>
      <c r="D21" s="60"/>
      <c r="E21" s="67"/>
      <c r="F21" s="60"/>
      <c r="G21" s="60"/>
      <c r="H21" s="67"/>
      <c r="I21" s="60"/>
      <c r="J21" s="60"/>
      <c r="K21" s="79">
        <f aca="true" t="shared" si="5" ref="K21:W21">SUM(K8-K9)-K20</f>
        <v>424.9619999999993</v>
      </c>
      <c r="L21" s="73">
        <f t="shared" si="5"/>
        <v>-160.78150000000008</v>
      </c>
      <c r="M21" s="73">
        <f t="shared" si="5"/>
        <v>-3.671499999999952</v>
      </c>
      <c r="N21" s="73">
        <f t="shared" si="5"/>
        <v>-173.83150000000003</v>
      </c>
      <c r="O21" s="73">
        <f t="shared" si="5"/>
        <v>8.278500000000093</v>
      </c>
      <c r="P21" s="73">
        <f t="shared" si="5"/>
        <v>24.208499999999702</v>
      </c>
      <c r="Q21" s="73">
        <f t="shared" si="5"/>
        <v>-166.04150000000007</v>
      </c>
      <c r="R21" s="73">
        <f t="shared" si="5"/>
        <v>-30.701499999999697</v>
      </c>
      <c r="S21" s="73">
        <f t="shared" si="5"/>
        <v>13.258500000000112</v>
      </c>
      <c r="T21" s="73">
        <f t="shared" si="5"/>
        <v>-83.93149999999994</v>
      </c>
      <c r="U21" s="73">
        <f t="shared" si="5"/>
        <v>-53.42149999999995</v>
      </c>
      <c r="V21" s="73">
        <f t="shared" si="5"/>
        <v>-167.34150000000002</v>
      </c>
      <c r="W21" s="73">
        <f t="shared" si="5"/>
        <v>-216.92650000000015</v>
      </c>
      <c r="X21" s="93">
        <f t="shared" si="2"/>
        <v>-1010.9029999999998</v>
      </c>
      <c r="Y21" s="76"/>
    </row>
    <row r="22" spans="1:25" ht="30" customHeight="1" thickBot="1">
      <c r="A22" s="101" t="s">
        <v>40</v>
      </c>
      <c r="B22" s="102" t="s">
        <v>23</v>
      </c>
      <c r="C22" s="103">
        <v>1288.42</v>
      </c>
      <c r="D22" s="104">
        <v>1951.42</v>
      </c>
      <c r="E22" s="82">
        <f>SUM(E8-E9)</f>
        <v>1243.430000000004</v>
      </c>
      <c r="F22" s="83">
        <f>SUM(F8-F9)</f>
        <v>73.77999999999884</v>
      </c>
      <c r="G22" s="83">
        <f>SUM(G8-G9)</f>
        <v>-6922.93</v>
      </c>
      <c r="H22" s="105">
        <f>SUM(H8-H9)-H20</f>
        <v>-5097.456000000002</v>
      </c>
      <c r="I22" s="88">
        <f>SUM(I8-I9)-I20</f>
        <v>7047.3145</v>
      </c>
      <c r="J22" s="88">
        <f>SUM(J8-J9)-J20</f>
        <v>-1324.3379999999963</v>
      </c>
      <c r="K22" s="88">
        <f>SUM(K8-K9)-K20</f>
        <v>424.9619999999993</v>
      </c>
      <c r="L22" s="106">
        <f>SUM(L8-L9)-L20</f>
        <v>-160.78150000000008</v>
      </c>
      <c r="M22" s="107">
        <f>SUM(M21+L22)</f>
        <v>-164.45300000000003</v>
      </c>
      <c r="N22" s="107">
        <f aca="true" t="shared" si="6" ref="N22:W22">SUM(N21+M22)</f>
        <v>-338.2845000000001</v>
      </c>
      <c r="O22" s="107">
        <f t="shared" si="6"/>
        <v>-330.006</v>
      </c>
      <c r="P22" s="107">
        <f t="shared" si="6"/>
        <v>-305.79750000000024</v>
      </c>
      <c r="Q22" s="107">
        <f t="shared" si="6"/>
        <v>-471.8390000000003</v>
      </c>
      <c r="R22" s="107">
        <f t="shared" si="6"/>
        <v>-502.54049999999995</v>
      </c>
      <c r="S22" s="107">
        <f t="shared" si="6"/>
        <v>-489.2819999999998</v>
      </c>
      <c r="T22" s="107">
        <f t="shared" si="6"/>
        <v>-573.2134999999997</v>
      </c>
      <c r="U22" s="107">
        <f t="shared" si="6"/>
        <v>-626.6349999999996</v>
      </c>
      <c r="V22" s="107">
        <f t="shared" si="6"/>
        <v>-793.9764999999996</v>
      </c>
      <c r="W22" s="107">
        <f t="shared" si="6"/>
        <v>-1010.9029999999998</v>
      </c>
      <c r="X22" s="83"/>
      <c r="Y22" s="108"/>
    </row>
    <row r="23" spans="1:25" ht="24.75" customHeight="1" hidden="1" thickBot="1">
      <c r="A23" s="94" t="s">
        <v>41</v>
      </c>
      <c r="B23" s="41" t="s">
        <v>24</v>
      </c>
      <c r="C23" s="37">
        <v>1288.42</v>
      </c>
      <c r="D23" s="41">
        <v>3239.84</v>
      </c>
      <c r="E23" s="95">
        <f>SUM(E8-E9,D23)</f>
        <v>4483.270000000004</v>
      </c>
      <c r="F23" s="96">
        <f>SUM(F8-F9,E23)</f>
        <v>4557.050000000003</v>
      </c>
      <c r="G23" s="96">
        <f>SUM(G8-G9,F23)</f>
        <v>-2365.8799999999974</v>
      </c>
      <c r="H23" s="97">
        <f>SUM(H22+G23)</f>
        <v>-7463.335999999999</v>
      </c>
      <c r="I23" s="98">
        <f>SUM(I22+H23)</f>
        <v>-416.0214999999989</v>
      </c>
      <c r="J23" s="98">
        <f>SUM(J22+I23)</f>
        <v>-1740.3594999999953</v>
      </c>
      <c r="K23" s="98">
        <f>SUM(K22+J23)</f>
        <v>-1315.397499999996</v>
      </c>
      <c r="L23" s="98">
        <f>SUM(L22+K23)</f>
        <v>-1476.178999999996</v>
      </c>
      <c r="M23" s="99">
        <f>SUM(M21+L23)</f>
        <v>-1479.850499999996</v>
      </c>
      <c r="N23" s="99">
        <f aca="true" t="shared" si="7" ref="N23:V23">SUM(N21+M23)</f>
        <v>-1653.681999999996</v>
      </c>
      <c r="O23" s="99">
        <f t="shared" si="7"/>
        <v>-1645.4034999999958</v>
      </c>
      <c r="P23" s="99">
        <f t="shared" si="7"/>
        <v>-1621.194999999996</v>
      </c>
      <c r="Q23" s="99">
        <f t="shared" si="7"/>
        <v>-1787.236499999996</v>
      </c>
      <c r="R23" s="99">
        <f t="shared" si="7"/>
        <v>-1817.9379999999958</v>
      </c>
      <c r="S23" s="99">
        <f t="shared" si="7"/>
        <v>-1804.6794999999956</v>
      </c>
      <c r="T23" s="99">
        <f t="shared" si="7"/>
        <v>-1888.6109999999956</v>
      </c>
      <c r="U23" s="99">
        <f t="shared" si="7"/>
        <v>-1942.0324999999955</v>
      </c>
      <c r="V23" s="99">
        <f t="shared" si="7"/>
        <v>-2109.3739999999957</v>
      </c>
      <c r="W23" s="99">
        <f>SUM(W21+V23)</f>
        <v>-2326.3004999999957</v>
      </c>
      <c r="X23" s="96"/>
      <c r="Y23" s="100"/>
    </row>
    <row r="24" spans="1:25" ht="0.75" customHeight="1" hidden="1" thickBot="1">
      <c r="A24" s="34" t="s">
        <v>41</v>
      </c>
      <c r="B24" s="40" t="s">
        <v>7</v>
      </c>
      <c r="C24" s="37"/>
      <c r="D24" s="41"/>
      <c r="E24" s="41"/>
      <c r="F24" s="37"/>
      <c r="G24" s="37"/>
      <c r="H24" s="37"/>
      <c r="I24" s="37"/>
      <c r="J24" s="37"/>
      <c r="K24" s="37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9"/>
      <c r="X24" s="54"/>
      <c r="Y24" s="50"/>
    </row>
    <row r="25" spans="1:25" ht="15" customHeight="1" hidden="1" thickBot="1">
      <c r="A25" s="34" t="s">
        <v>42</v>
      </c>
      <c r="B25" s="31" t="s">
        <v>25</v>
      </c>
      <c r="C25" s="37"/>
      <c r="D25" s="41"/>
      <c r="E25" s="41"/>
      <c r="F25" s="37"/>
      <c r="G25" s="37"/>
      <c r="H25" s="37"/>
      <c r="I25" s="37"/>
      <c r="J25" s="37"/>
      <c r="K25" s="37"/>
      <c r="L25" s="1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9"/>
      <c r="X25" s="55"/>
      <c r="Y25" s="51"/>
    </row>
    <row r="26" spans="1:25" ht="24" customHeight="1" hidden="1" thickBot="1">
      <c r="A26" s="35" t="s">
        <v>43</v>
      </c>
      <c r="B26" s="32" t="s">
        <v>47</v>
      </c>
      <c r="C26" s="38"/>
      <c r="D26" s="42"/>
      <c r="E26" s="42"/>
      <c r="F26" s="38"/>
      <c r="G26" s="38"/>
      <c r="H26" s="38"/>
      <c r="I26" s="38"/>
      <c r="J26" s="38"/>
      <c r="K26" s="3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>
        <f>SUM(W22-W24)</f>
        <v>-1010.9029999999998</v>
      </c>
      <c r="X26" s="56"/>
      <c r="Y26" s="52"/>
    </row>
    <row r="27" spans="1:25" ht="24" customHeight="1" hidden="1" thickBot="1">
      <c r="A27" s="35" t="s">
        <v>46</v>
      </c>
      <c r="B27" s="32" t="s">
        <v>26</v>
      </c>
      <c r="C27" s="38"/>
      <c r="D27" s="42"/>
      <c r="E27" s="42"/>
      <c r="F27" s="38"/>
      <c r="G27" s="38"/>
      <c r="H27" s="38"/>
      <c r="I27" s="38"/>
      <c r="J27" s="38"/>
      <c r="K27" s="38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4">
        <f>SUM(W23-W24)</f>
        <v>-2326.3004999999957</v>
      </c>
      <c r="X27" s="56"/>
      <c r="Y27" s="52"/>
    </row>
    <row r="28" spans="3:25" ht="0.75" customHeight="1" hidden="1"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</row>
    <row r="29" ht="16.5" customHeight="1"/>
    <row r="30" ht="0.75" customHeight="1"/>
    <row r="31" ht="12.75" hidden="1"/>
    <row r="32" ht="12.75" hidden="1"/>
    <row r="33" ht="12.75">
      <c r="B33" t="s">
        <v>51</v>
      </c>
    </row>
    <row r="37" ht="12.75" customHeight="1"/>
    <row r="38" ht="12.75" customHeight="1"/>
  </sheetData>
  <sheetProtection/>
  <mergeCells count="5">
    <mergeCell ref="B4:Y4"/>
    <mergeCell ref="B5:Y5"/>
    <mergeCell ref="B3:Y3"/>
    <mergeCell ref="B1:N1"/>
    <mergeCell ref="B2:U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2019-02-11T10:34:01Z</cp:lastPrinted>
  <dcterms:created xsi:type="dcterms:W3CDTF">2011-06-16T11:06:26Z</dcterms:created>
  <dcterms:modified xsi:type="dcterms:W3CDTF">2019-02-14T05:28:08Z</dcterms:modified>
  <cp:category/>
  <cp:version/>
  <cp:contentType/>
  <cp:contentStatus/>
</cp:coreProperties>
</file>