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<sst xmlns="http://schemas.openxmlformats.org/spreadsheetml/2006/main" count="71" uniqueCount="71">
  <si>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</si>
  <si>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</si>
  <si>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</si>
  <si>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</si>
  <si>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</si>
  <si>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</si>
  <si>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</si>
  <si>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</si>
  <si>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</si>
  <si>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</si>
  <si>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</si>
  <si>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</si>
  <si>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</si>
  <si>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</si>
  <si>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</si>
  <si>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</si>
  <si>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</si>
  <si>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</si>
  <si>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</si>
  <si>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</si>
  <si>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</si>
  <si>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ноябрь</t>
  </si>
  <si>
    <t>Фин.результат с начала года</t>
  </si>
  <si>
    <t>Фин.результат с начала деятельности</t>
  </si>
  <si>
    <t>№</t>
  </si>
  <si>
    <t>1</t>
  </si>
  <si>
    <t>4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</si>
  <si>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</si>
  <si>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</si>
  <si>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</si>
  <si>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</si>
  <si>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</si>
  <si>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</si>
  <si>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</si>
  <si>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</si>
  <si>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</si>
  <si>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</si>
  <si>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</si>
  <si>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</si>
  <si>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</si>
  <si>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за 2010 г</t>
  </si>
  <si>
    <t>по жилому дому г. Унеча ул. Первомайская д.7 А</t>
  </si>
  <si>
    <t>Благоустройство  территории</t>
  </si>
  <si>
    <t>Итого за 2011 г</t>
  </si>
  <si>
    <t>Результат за месяц</t>
  </si>
  <si>
    <t>Исполнитель /Викторова Л.С./</t>
  </si>
  <si>
    <t>Дом по ул.Первомайская д.7 А вступил в ООО "Наш дом" с февраля 2010 года             тариф 10,35 руб</t>
  </si>
  <si>
    <t>Итого за 2012 г</t>
  </si>
  <si>
    <t>4.14</t>
  </si>
  <si>
    <t xml:space="preserve">Материалы </t>
  </si>
  <si>
    <t>4.15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</si>
  <si>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</si>
  <si>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</si>
  <si>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</si>
  <si>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</si>
  <si>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</si>
  <si>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</si>
  <si>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</si>
  <si>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Итого за 2016 г</t>
  </si>
  <si>
    <t>Проверка вент.каналов</t>
  </si>
  <si>
    <t>4.4</t>
  </si>
  <si>
    <t>Итого за 2017 г</t>
  </si>
  <si>
    <t>Начислено  СОИД</t>
  </si>
  <si>
    <t>Электроэнергия СОИД</t>
  </si>
  <si>
    <t>Горячая вода СОИД</t>
  </si>
  <si>
    <t>Холодная вода СОИД</t>
  </si>
  <si>
    <t>Канализация СОИД</t>
  </si>
  <si>
    <t>октябрь</t>
  </si>
  <si>
    <t>Транспортные(ГСМ,зап.части,амортизация,страхован)</t>
  </si>
  <si>
    <t>Итого за 2018 г</t>
  </si>
  <si>
    <t>Всего за 2010-2018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</si>
</sst>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0" fontId="21" fillId="0" borderId="28" xfId="0" applyFont="1" applyBorder="1" applyAlignment="1">
      <alignment horizontal="left" wrapText="1"/>
    </xf>
    <xf numFmtId="49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2" borderId="30" xfId="0" applyFont="1" applyFill="1" applyBorder="1" applyAlignment="1">
      <alignment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23" fillId="0" borderId="34" xfId="0" applyFont="1" applyBorder="1" applyAlignment="1">
      <alignment horizontal="left" vertical="center" wrapText="1"/>
    </xf>
    <xf numFmtId="0" fontId="21" fillId="0" borderId="34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2" borderId="35" xfId="0" applyFont="1" applyFill="1" applyBorder="1" applyAlignment="1">
      <alignment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32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0" fontId="21" fillId="0" borderId="26" xfId="0" applyFont="1" applyBorder="1" applyAlignment="1">
      <alignment wrapText="1"/>
    </xf>
    <xf numFmtId="49" fontId="0" fillId="0" borderId="35" xfId="0" applyNumberFormat="1" applyBorder="1" applyAlignment="1">
      <alignment horizontal="center"/>
    </xf>
    <xf numFmtId="0" fontId="23" fillId="0" borderId="26" xfId="0" applyFont="1" applyBorder="1" applyAlignment="1">
      <alignment horizontal="center" vertical="center" wrapText="1"/>
    </xf>
    <xf numFmtId="2" fontId="25" fillId="0" borderId="26" xfId="0" applyNumberFormat="1" applyFont="1" applyBorder="1" applyAlignment="1">
      <alignment/>
    </xf>
    <xf numFmtId="0" fontId="25" fillId="0" borderId="26" xfId="0" applyFont="1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19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/>
    </xf>
    <xf numFmtId="0" fontId="21" fillId="0" borderId="38" xfId="0" applyFont="1" applyBorder="1" applyAlignment="1">
      <alignment/>
    </xf>
    <xf numFmtId="0" fontId="20" fillId="2" borderId="35" xfId="0" applyFont="1" applyFill="1" applyBorder="1" applyAlignment="1">
      <alignment/>
    </xf>
    <xf numFmtId="0" fontId="25" fillId="0" borderId="31" xfId="0" applyFont="1" applyBorder="1" applyAlignment="1">
      <alignment/>
    </xf>
    <xf numFmtId="0" fontId="21" fillId="0" borderId="37" xfId="0" applyFont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2" fontId="25" fillId="0" borderId="39" xfId="0" applyNumberFormat="1" applyFont="1" applyBorder="1" applyAlignment="1">
      <alignment/>
    </xf>
    <xf numFmtId="0" fontId="26" fillId="0" borderId="31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2" borderId="25" xfId="0" applyFont="1" applyFill="1" applyBorder="1" applyAlignment="1">
      <alignment wrapText="1"/>
    </xf>
    <xf numFmtId="0" fontId="19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0" fontId="26" fillId="0" borderId="36" xfId="0" applyFont="1" applyBorder="1" applyAlignment="1">
      <alignment wrapText="1"/>
    </xf>
    <xf numFmtId="49" fontId="0" fillId="0" borderId="47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1" fillId="0" borderId="25" xfId="0" applyFont="1" applyBorder="1" applyAlignment="1">
      <alignment/>
    </xf>
    <xf numFmtId="0" fontId="21" fillId="0" borderId="35" xfId="0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49" fontId="0" fillId="0" borderId="34" xfId="0" applyNumberFormat="1" applyBorder="1" applyAlignment="1">
      <alignment horizontal="center"/>
    </xf>
    <xf numFmtId="0" fontId="0" fillId="0" borderId="35" xfId="0" applyFont="1" applyBorder="1" applyAlignment="1">
      <alignment/>
    </xf>
    <xf numFmtId="0" fontId="21" fillId="0" borderId="36" xfId="0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49" fontId="22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wrapText="1"/>
    </xf>
    <xf numFmtId="0" fontId="27" fillId="0" borderId="34" xfId="0" applyFont="1" applyBorder="1" applyAlignment="1">
      <alignment/>
    </xf>
    <xf numFmtId="0" fontId="27" fillId="0" borderId="49" xfId="0" applyFont="1" applyBorder="1" applyAlignment="1">
      <alignment/>
    </xf>
    <xf numFmtId="0" fontId="27" fillId="0" borderId="40" xfId="0" applyFont="1" applyBorder="1" applyAlignment="1">
      <alignment/>
    </xf>
    <xf numFmtId="0" fontId="27" fillId="0" borderId="11" xfId="0" applyFont="1" applyBorder="1" applyAlignment="1">
      <alignment/>
    </xf>
    <xf numFmtId="2" fontId="28" fillId="0" borderId="26" xfId="0" applyNumberFormat="1" applyFont="1" applyBorder="1" applyAlignment="1">
      <alignment/>
    </xf>
    <xf numFmtId="0" fontId="22" fillId="0" borderId="0" xfId="0" applyFont="1" applyAlignment="1">
      <alignment/>
    </xf>
    <xf numFmtId="0" fontId="27" fillId="0" borderId="26" xfId="0" applyFont="1" applyBorder="1" applyAlignment="1">
      <alignment wrapText="1"/>
    </xf>
    <xf numFmtId="0" fontId="27" fillId="0" borderId="34" xfId="0" applyFont="1" applyBorder="1" applyAlignment="1">
      <alignment wrapText="1"/>
    </xf>
    <xf numFmtId="2" fontId="27" fillId="0" borderId="34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2" fillId="0" borderId="3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0">
      <selection activeCell="X29" sqref="X29"/>
    </sheetView>
  </sheetViews>
  <sheetFormatPr defaultColWidth="9.00390625" defaultRowHeight="12.75"/>
  <cols>
    <col min="1" max="1" width="0.12890625" style="24" customWidth="1"/>
    <col min="2" max="2" width="22.25390625" style="0" customWidth="1"/>
    <col min="3" max="3" width="7.625" style="0" hidden="1" customWidth="1"/>
    <col min="4" max="4" width="8.00390625" style="0" hidden="1" customWidth="1"/>
    <col min="5" max="5" width="9.75390625" style="0" hidden="1" customWidth="1"/>
    <col min="6" max="6" width="9.625" style="0" hidden="1" customWidth="1"/>
    <col min="7" max="8" width="9.00390625" style="0" hidden="1" customWidth="1"/>
    <col min="9" max="9" width="9.75390625" style="0" hidden="1" customWidth="1"/>
    <col min="10" max="10" width="9.625" style="0" hidden="1" customWidth="1"/>
    <col min="11" max="11" width="8.75390625" style="0" customWidth="1"/>
    <col min="12" max="12" width="8.125" style="0" customWidth="1"/>
    <col min="13" max="14" width="8.625" style="0" customWidth="1"/>
    <col min="15" max="16" width="8.375" style="0" customWidth="1"/>
    <col min="17" max="17" width="8.625" style="0" customWidth="1"/>
    <col min="18" max="18" width="8.375" style="0" customWidth="1"/>
    <col min="19" max="19" width="9.00390625" style="0" customWidth="1"/>
    <col min="20" max="21" width="8.625" style="0" customWidth="1"/>
    <col min="22" max="22" width="8.375" style="0" customWidth="1"/>
    <col min="23" max="23" width="8.75390625" style="0" customWidth="1"/>
    <col min="24" max="24" width="10.75390625" style="0" customWidth="1"/>
  </cols>
  <sheetData>
    <row r="1" spans="2:29" ht="12.75" customHeight="1">
      <c r="B1" s="100" t="s">
        <v>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100" t="s">
        <v>46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4"/>
      <c r="V2" s="4"/>
      <c r="W2" s="4"/>
      <c r="X2" s="4"/>
      <c r="Y2" s="4"/>
      <c r="Z2" s="4"/>
      <c r="AA2" s="4"/>
      <c r="AB2" s="4"/>
      <c r="AC2" s="4"/>
    </row>
    <row r="3" spans="2:29" ht="12.75" customHeight="1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3"/>
      <c r="Z3" s="3"/>
      <c r="AA3" s="3"/>
      <c r="AB3" s="3"/>
      <c r="AC3" s="3"/>
    </row>
    <row r="4" spans="2:29" ht="15" customHeight="1">
      <c r="B4" s="98" t="s">
        <v>10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2"/>
      <c r="Z4" s="2"/>
      <c r="AA4" s="2"/>
      <c r="AB4" s="2"/>
      <c r="AC4" s="2"/>
    </row>
    <row r="5" spans="2:29" ht="16.5" customHeight="1" thickBot="1">
      <c r="B5" s="98" t="s">
        <v>41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2"/>
      <c r="Z5" s="2"/>
      <c r="AA5" s="2"/>
      <c r="AB5" s="2"/>
      <c r="AC5" s="2"/>
    </row>
    <row r="6" spans="2:29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</row>
    <row r="7" spans="1:29" ht="30" customHeight="1" thickBot="1">
      <c r="A7" s="33" t="s">
        <v>24</v>
      </c>
      <c r="B7" s="25" t="s">
        <v>7</v>
      </c>
      <c r="C7" s="36" t="s">
        <v>40</v>
      </c>
      <c r="D7" s="62" t="s">
        <v>43</v>
      </c>
      <c r="E7" s="51" t="s">
        <v>47</v>
      </c>
      <c r="F7" s="51" t="s">
        <v>51</v>
      </c>
      <c r="G7" s="51" t="s">
        <v>52</v>
      </c>
      <c r="H7" s="51" t="s">
        <v>54</v>
      </c>
      <c r="I7" s="51" t="s">
        <v>58</v>
      </c>
      <c r="J7" s="51" t="s">
        <v>61</v>
      </c>
      <c r="K7" s="6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18</v>
      </c>
      <c r="S7" s="5" t="s">
        <v>19</v>
      </c>
      <c r="T7" s="5" t="s">
        <v>67</v>
      </c>
      <c r="U7" s="5" t="s">
        <v>21</v>
      </c>
      <c r="V7" s="15" t="s">
        <v>20</v>
      </c>
      <c r="W7" s="51" t="s">
        <v>69</v>
      </c>
      <c r="X7" s="45" t="s">
        <v>70</v>
      </c>
      <c r="Y7" s="1"/>
      <c r="Z7" s="1"/>
      <c r="AA7" s="1"/>
      <c r="AB7" s="1"/>
      <c r="AC7" s="1"/>
    </row>
    <row r="8" spans="1:24" ht="13.5" thickBot="1">
      <c r="A8" s="34" t="s">
        <v>25</v>
      </c>
      <c r="B8" s="26" t="s">
        <v>1</v>
      </c>
      <c r="C8" s="59">
        <v>282619.4</v>
      </c>
      <c r="D8" s="63">
        <v>340203.08</v>
      </c>
      <c r="E8" s="63">
        <v>346148.52</v>
      </c>
      <c r="F8" s="59">
        <v>345759.27</v>
      </c>
      <c r="G8" s="73">
        <v>344945.58</v>
      </c>
      <c r="H8" s="59">
        <v>344834.76</v>
      </c>
      <c r="I8" s="59">
        <v>344917.56</v>
      </c>
      <c r="J8" s="59">
        <v>344825.5</v>
      </c>
      <c r="K8" s="7">
        <v>28729.68</v>
      </c>
      <c r="L8" s="8">
        <v>28729.68</v>
      </c>
      <c r="M8" s="8">
        <v>28729.68</v>
      </c>
      <c r="N8" s="8">
        <v>28729.68</v>
      </c>
      <c r="O8" s="8">
        <v>28729.68</v>
      </c>
      <c r="P8" s="8">
        <v>28729.68</v>
      </c>
      <c r="Q8" s="8">
        <v>28729.68</v>
      </c>
      <c r="R8" s="8">
        <v>28729.68</v>
      </c>
      <c r="S8" s="8">
        <v>28729.68</v>
      </c>
      <c r="T8" s="8">
        <v>28729.68</v>
      </c>
      <c r="U8" s="8">
        <v>28729.68</v>
      </c>
      <c r="V8" s="8">
        <v>28729.68</v>
      </c>
      <c r="W8" s="82">
        <f>SUM(K8:V8)</f>
        <v>344756.16</v>
      </c>
      <c r="X8" s="55">
        <f>SUM(C8:V8)</f>
        <v>3039009.830000002</v>
      </c>
    </row>
    <row r="9" spans="1:24" ht="13.5" thickBot="1">
      <c r="A9" s="34"/>
      <c r="B9" s="26" t="s">
        <v>62</v>
      </c>
      <c r="C9" s="73"/>
      <c r="D9" s="63"/>
      <c r="E9" s="63"/>
      <c r="F9" s="73"/>
      <c r="G9" s="73"/>
      <c r="H9" s="73"/>
      <c r="I9" s="73"/>
      <c r="J9" s="73">
        <v>38499.63</v>
      </c>
      <c r="K9" s="7">
        <f aca="true" t="shared" si="0" ref="K9:P9">2598.24+114.41+166.35+509.33</f>
        <v>3388.3299999999995</v>
      </c>
      <c r="L9" s="7">
        <f t="shared" si="0"/>
        <v>3388.3299999999995</v>
      </c>
      <c r="M9" s="7">
        <f t="shared" si="0"/>
        <v>3388.3299999999995</v>
      </c>
      <c r="N9" s="7">
        <f t="shared" si="0"/>
        <v>3388.3299999999995</v>
      </c>
      <c r="O9" s="7">
        <f t="shared" si="0"/>
        <v>3388.3299999999995</v>
      </c>
      <c r="P9" s="7">
        <f t="shared" si="0"/>
        <v>3388.3299999999995</v>
      </c>
      <c r="Q9" s="8">
        <f>2727.03+115.06+167.82+525.9</f>
        <v>3535.8100000000004</v>
      </c>
      <c r="R9" s="8">
        <f>115.06+167.82+525.9</f>
        <v>808.78</v>
      </c>
      <c r="S9" s="8">
        <f>115.06+167.82+525.9</f>
        <v>808.78</v>
      </c>
      <c r="T9" s="8">
        <f>115.06+167.82+525.9</f>
        <v>808.78</v>
      </c>
      <c r="U9" s="8">
        <f>115.06+167.82+525.9</f>
        <v>808.78</v>
      </c>
      <c r="V9" s="8">
        <f>115.06+167.82+525.9</f>
        <v>808.78</v>
      </c>
      <c r="W9" s="82">
        <f>SUM(K9:V9)</f>
        <v>27909.68999999999</v>
      </c>
      <c r="X9" s="55">
        <f>SUM(C9:V9)</f>
        <v>66409.32</v>
      </c>
    </row>
    <row r="10" spans="1:24" s="92" customFormat="1" ht="13.5" thickBot="1">
      <c r="A10" s="85" t="s">
        <v>26</v>
      </c>
      <c r="B10" s="86" t="s">
        <v>2</v>
      </c>
      <c r="C10" s="87">
        <f aca="true" t="shared" si="1" ref="C10:K10">SUM(C11:C26)</f>
        <v>300946.99</v>
      </c>
      <c r="D10" s="88">
        <f t="shared" si="1"/>
        <v>285842.17</v>
      </c>
      <c r="E10" s="89">
        <f t="shared" si="1"/>
        <v>307027.17000000004</v>
      </c>
      <c r="F10" s="87">
        <f t="shared" si="1"/>
        <v>312798.21</v>
      </c>
      <c r="G10" s="87">
        <f t="shared" si="1"/>
        <v>287706.68</v>
      </c>
      <c r="H10" s="87">
        <f>SUM(H11:H26)</f>
        <v>312414.33999999997</v>
      </c>
      <c r="I10" s="87">
        <f>SUM(I11:I26)</f>
        <v>295649.68</v>
      </c>
      <c r="J10" s="87">
        <f>SUM(J11:J26)</f>
        <v>394766.8899999999</v>
      </c>
      <c r="K10" s="90">
        <f t="shared" si="1"/>
        <v>28134.2</v>
      </c>
      <c r="L10" s="90">
        <f aca="true" t="shared" si="2" ref="L10:V10">SUM(L11:L26)</f>
        <v>27861.7</v>
      </c>
      <c r="M10" s="90">
        <f t="shared" si="2"/>
        <v>30919.45</v>
      </c>
      <c r="N10" s="90">
        <f t="shared" si="2"/>
        <v>27435.38</v>
      </c>
      <c r="O10" s="90">
        <f t="shared" si="2"/>
        <v>42824.42</v>
      </c>
      <c r="P10" s="90">
        <f t="shared" si="2"/>
        <v>27435.799999999996</v>
      </c>
      <c r="Q10" s="90">
        <f t="shared" si="2"/>
        <v>27923.800000000003</v>
      </c>
      <c r="R10" s="90">
        <f t="shared" si="2"/>
        <v>32182.599999999995</v>
      </c>
      <c r="S10" s="90">
        <f t="shared" si="2"/>
        <v>25220.11</v>
      </c>
      <c r="T10" s="90">
        <f t="shared" si="2"/>
        <v>34754.57</v>
      </c>
      <c r="U10" s="90">
        <f t="shared" si="2"/>
        <v>25829.89</v>
      </c>
      <c r="V10" s="88">
        <f t="shared" si="2"/>
        <v>28587</v>
      </c>
      <c r="W10" s="87">
        <f>SUM(K10:V10)</f>
        <v>359108.92000000004</v>
      </c>
      <c r="X10" s="91">
        <f>SUM(C10:V10)</f>
        <v>2856261.05</v>
      </c>
    </row>
    <row r="11" spans="1:24" ht="13.5" thickBot="1">
      <c r="A11" s="34" t="s">
        <v>27</v>
      </c>
      <c r="B11" s="28" t="s">
        <v>4</v>
      </c>
      <c r="C11" s="40">
        <v>43273.34</v>
      </c>
      <c r="D11" s="64">
        <v>54291.78</v>
      </c>
      <c r="E11" s="64">
        <v>58461.92</v>
      </c>
      <c r="F11" s="40">
        <v>64200.49</v>
      </c>
      <c r="G11" s="40">
        <v>64784.83</v>
      </c>
      <c r="H11" s="40">
        <v>64012.02</v>
      </c>
      <c r="I11" s="40">
        <v>63189.41</v>
      </c>
      <c r="J11" s="40">
        <v>62757.9</v>
      </c>
      <c r="K11" s="7">
        <f>4929+192.29</f>
        <v>5121.29</v>
      </c>
      <c r="L11" s="8">
        <f>4929+210.94</f>
        <v>5139.94</v>
      </c>
      <c r="M11" s="8">
        <f>4876+148.31</f>
        <v>5024.31</v>
      </c>
      <c r="N11" s="8">
        <f>4876+417.8</f>
        <v>5293.8</v>
      </c>
      <c r="O11" s="8">
        <f>4929+394.28</f>
        <v>5323.28</v>
      </c>
      <c r="P11" s="8">
        <f>4876+400.95</f>
        <v>5276.95</v>
      </c>
      <c r="Q11" s="8">
        <f>4770+335.29</f>
        <v>5105.29</v>
      </c>
      <c r="R11" s="8">
        <f>4770+423.91</f>
        <v>5193.91</v>
      </c>
      <c r="S11" s="8">
        <f>4770+315.1</f>
        <v>5085.1</v>
      </c>
      <c r="T11" s="8">
        <f>4823+258.28</f>
        <v>5081.28</v>
      </c>
      <c r="U11" s="8">
        <f>4717+293.78</f>
        <v>5010.78</v>
      </c>
      <c r="V11" s="16">
        <f>4717+270.02</f>
        <v>4987.02</v>
      </c>
      <c r="W11" s="52">
        <f aca="true" t="shared" si="3" ref="W11:W28">SUM(K11:V11)</f>
        <v>61642.95</v>
      </c>
      <c r="X11" s="46">
        <f aca="true" t="shared" si="4" ref="X11:X26">SUM(C11:V11)</f>
        <v>536614.64</v>
      </c>
    </row>
    <row r="12" spans="1:24" ht="13.5" customHeight="1" thickBot="1">
      <c r="A12" s="34" t="s">
        <v>28</v>
      </c>
      <c r="B12" s="29" t="s">
        <v>55</v>
      </c>
      <c r="C12" s="41">
        <v>62813.64</v>
      </c>
      <c r="D12" s="65">
        <v>25569.13</v>
      </c>
      <c r="E12" s="65">
        <f>5438.1+4150</f>
        <v>9588.1</v>
      </c>
      <c r="F12" s="41">
        <f>3880.35+6300</f>
        <v>10180.35</v>
      </c>
      <c r="G12" s="41">
        <v>18182.56</v>
      </c>
      <c r="H12" s="41">
        <v>8011.34</v>
      </c>
      <c r="I12" s="41">
        <v>9669.4</v>
      </c>
      <c r="J12" s="41">
        <v>0</v>
      </c>
      <c r="K12" s="9"/>
      <c r="L12" s="10">
        <v>320</v>
      </c>
      <c r="M12" s="10">
        <v>210</v>
      </c>
      <c r="N12" s="10"/>
      <c r="O12" s="10">
        <v>300</v>
      </c>
      <c r="P12" s="10"/>
      <c r="Q12" s="10"/>
      <c r="R12" s="10">
        <v>7675.9</v>
      </c>
      <c r="S12" s="10">
        <v>1400.6</v>
      </c>
      <c r="T12" s="10">
        <v>2000</v>
      </c>
      <c r="U12" s="10"/>
      <c r="V12" s="17"/>
      <c r="W12" s="52">
        <f t="shared" si="3"/>
        <v>11906.5</v>
      </c>
      <c r="X12" s="46">
        <f t="shared" si="4"/>
        <v>155921.02000000002</v>
      </c>
    </row>
    <row r="13" spans="1:24" ht="15" customHeight="1" thickBot="1">
      <c r="A13" s="34" t="s">
        <v>29</v>
      </c>
      <c r="B13" s="27" t="s">
        <v>5</v>
      </c>
      <c r="C13" s="41">
        <v>0</v>
      </c>
      <c r="D13" s="65">
        <v>4355.03</v>
      </c>
      <c r="E13" s="65">
        <v>0</v>
      </c>
      <c r="F13" s="41">
        <v>0</v>
      </c>
      <c r="G13" s="41"/>
      <c r="H13" s="41">
        <v>13102.76</v>
      </c>
      <c r="I13" s="41">
        <v>0</v>
      </c>
      <c r="J13" s="41">
        <v>0</v>
      </c>
      <c r="K13" s="9"/>
      <c r="L13" s="10"/>
      <c r="M13" s="10"/>
      <c r="N13" s="10"/>
      <c r="O13" s="10">
        <v>15172.85</v>
      </c>
      <c r="P13" s="10"/>
      <c r="Q13" s="10"/>
      <c r="R13" s="10"/>
      <c r="S13" s="10"/>
      <c r="T13" s="10"/>
      <c r="U13" s="10"/>
      <c r="V13" s="17"/>
      <c r="W13" s="52">
        <f t="shared" si="3"/>
        <v>15172.85</v>
      </c>
      <c r="X13" s="46">
        <f t="shared" si="4"/>
        <v>32630.64</v>
      </c>
    </row>
    <row r="14" spans="1:24" ht="13.5" customHeight="1" thickBot="1">
      <c r="A14" s="34" t="s">
        <v>60</v>
      </c>
      <c r="B14" s="29" t="s">
        <v>49</v>
      </c>
      <c r="C14" s="41">
        <v>61036.44</v>
      </c>
      <c r="D14" s="65">
        <v>17895.53</v>
      </c>
      <c r="E14" s="65">
        <v>41177.99</v>
      </c>
      <c r="F14" s="41">
        <v>39484.04</v>
      </c>
      <c r="G14" s="41">
        <v>5102.87</v>
      </c>
      <c r="H14" s="41">
        <v>7121.04</v>
      </c>
      <c r="I14" s="41">
        <v>6706.57</v>
      </c>
      <c r="J14" s="41">
        <v>65435.7</v>
      </c>
      <c r="K14" s="9">
        <v>120</v>
      </c>
      <c r="L14" s="10">
        <v>90</v>
      </c>
      <c r="M14" s="10">
        <v>75</v>
      </c>
      <c r="N14" s="10">
        <v>105</v>
      </c>
      <c r="O14" s="10">
        <v>544</v>
      </c>
      <c r="P14" s="10">
        <v>356.12</v>
      </c>
      <c r="Q14" s="10">
        <v>554.72</v>
      </c>
      <c r="R14" s="10">
        <v>105</v>
      </c>
      <c r="S14" s="10">
        <v>389.62</v>
      </c>
      <c r="T14" s="10">
        <v>6919.7</v>
      </c>
      <c r="U14" s="10">
        <v>607</v>
      </c>
      <c r="V14" s="17">
        <v>1701.7</v>
      </c>
      <c r="W14" s="52">
        <f t="shared" si="3"/>
        <v>11567.86</v>
      </c>
      <c r="X14" s="46">
        <f t="shared" si="4"/>
        <v>255528.04</v>
      </c>
    </row>
    <row r="15" spans="1:24" ht="13.5" customHeight="1" thickBot="1">
      <c r="A15" s="34" t="s">
        <v>30</v>
      </c>
      <c r="B15" s="29" t="s">
        <v>59</v>
      </c>
      <c r="C15" s="41"/>
      <c r="D15" s="65"/>
      <c r="E15" s="65"/>
      <c r="F15" s="41"/>
      <c r="G15" s="41"/>
      <c r="H15" s="41"/>
      <c r="I15" s="41">
        <v>4800</v>
      </c>
      <c r="J15" s="41">
        <v>3700</v>
      </c>
      <c r="K15" s="9"/>
      <c r="L15" s="10"/>
      <c r="M15" s="10">
        <v>3300</v>
      </c>
      <c r="N15" s="10"/>
      <c r="O15" s="10"/>
      <c r="P15" s="10"/>
      <c r="Q15" s="10"/>
      <c r="R15" s="10"/>
      <c r="S15" s="10"/>
      <c r="T15" s="10"/>
      <c r="U15" s="10"/>
      <c r="V15" s="17"/>
      <c r="W15" s="52">
        <f>SUM(K15:V15)</f>
        <v>3300</v>
      </c>
      <c r="X15" s="46">
        <f>SUM(C15:V15)</f>
        <v>11800</v>
      </c>
    </row>
    <row r="16" spans="1:24" ht="24" customHeight="1" thickBot="1">
      <c r="A16" s="34" t="s">
        <v>31</v>
      </c>
      <c r="B16" s="29" t="s">
        <v>42</v>
      </c>
      <c r="C16" s="41">
        <v>0</v>
      </c>
      <c r="D16" s="65">
        <v>2262.78</v>
      </c>
      <c r="E16" s="65">
        <v>256</v>
      </c>
      <c r="F16" s="41">
        <v>0</v>
      </c>
      <c r="G16" s="41">
        <v>1353.18</v>
      </c>
      <c r="H16" s="41">
        <v>52.96</v>
      </c>
      <c r="I16" s="41">
        <v>1886</v>
      </c>
      <c r="J16" s="41">
        <v>1216.86</v>
      </c>
      <c r="K16" s="9">
        <v>14</v>
      </c>
      <c r="L16" s="10">
        <v>78</v>
      </c>
      <c r="M16" s="10"/>
      <c r="N16" s="10"/>
      <c r="O16" s="10"/>
      <c r="P16" s="10"/>
      <c r="Q16" s="10"/>
      <c r="R16" s="10"/>
      <c r="S16" s="10"/>
      <c r="T16" s="10"/>
      <c r="U16" s="10"/>
      <c r="V16" s="17"/>
      <c r="W16" s="52">
        <f t="shared" si="3"/>
        <v>92</v>
      </c>
      <c r="X16" s="46">
        <f t="shared" si="4"/>
        <v>7119.78</v>
      </c>
    </row>
    <row r="17" spans="1:24" ht="15" customHeight="1" thickBot="1">
      <c r="A17" s="34" t="s">
        <v>32</v>
      </c>
      <c r="B17" s="29" t="s">
        <v>63</v>
      </c>
      <c r="C17" s="41">
        <v>11064.97</v>
      </c>
      <c r="D17" s="65">
        <v>12095.18</v>
      </c>
      <c r="E17" s="65">
        <v>7262.28</v>
      </c>
      <c r="F17" s="41">
        <v>0</v>
      </c>
      <c r="G17" s="41"/>
      <c r="H17" s="41">
        <v>0</v>
      </c>
      <c r="I17" s="41">
        <v>0</v>
      </c>
      <c r="J17" s="41">
        <v>28855.64</v>
      </c>
      <c r="K17" s="9">
        <v>2598.24</v>
      </c>
      <c r="L17" s="9">
        <v>2598.24</v>
      </c>
      <c r="M17" s="9">
        <v>2598.24</v>
      </c>
      <c r="N17" s="9">
        <v>2598.24</v>
      </c>
      <c r="O17" s="9">
        <v>2598.24</v>
      </c>
      <c r="P17" s="9">
        <v>2598.24</v>
      </c>
      <c r="Q17" s="10">
        <v>2727.03</v>
      </c>
      <c r="R17" s="10"/>
      <c r="S17" s="10"/>
      <c r="T17" s="10"/>
      <c r="U17" s="10"/>
      <c r="V17" s="17"/>
      <c r="W17" s="52">
        <f t="shared" si="3"/>
        <v>18316.469999999998</v>
      </c>
      <c r="X17" s="46">
        <f t="shared" si="4"/>
        <v>77594.54000000001</v>
      </c>
    </row>
    <row r="18" spans="1:24" ht="15" customHeight="1" thickBot="1">
      <c r="A18" s="34"/>
      <c r="B18" s="29" t="s">
        <v>65</v>
      </c>
      <c r="C18" s="41"/>
      <c r="D18" s="65"/>
      <c r="E18" s="65"/>
      <c r="F18" s="41"/>
      <c r="G18" s="41"/>
      <c r="H18" s="41"/>
      <c r="I18" s="41"/>
      <c r="J18" s="41">
        <v>1332.84</v>
      </c>
      <c r="K18" s="9">
        <v>114.39</v>
      </c>
      <c r="L18" s="9">
        <v>114.39</v>
      </c>
      <c r="M18" s="9">
        <v>114.39</v>
      </c>
      <c r="N18" s="9">
        <v>114.39</v>
      </c>
      <c r="O18" s="9">
        <v>114.39</v>
      </c>
      <c r="P18" s="9">
        <v>114.39</v>
      </c>
      <c r="Q18" s="10">
        <v>115.09</v>
      </c>
      <c r="R18" s="10">
        <v>115.09</v>
      </c>
      <c r="S18" s="10">
        <v>115.09</v>
      </c>
      <c r="T18" s="10">
        <v>115.09</v>
      </c>
      <c r="U18" s="10">
        <v>115.09</v>
      </c>
      <c r="V18" s="10">
        <v>115.09</v>
      </c>
      <c r="W18" s="52">
        <f>SUM(K18:V18)</f>
        <v>1376.8799999999999</v>
      </c>
      <c r="X18" s="46">
        <f>SUM(C18:V18)</f>
        <v>2709.720000000001</v>
      </c>
    </row>
    <row r="19" spans="1:24" ht="15" customHeight="1" thickBot="1">
      <c r="A19" s="34"/>
      <c r="B19" s="29" t="s">
        <v>64</v>
      </c>
      <c r="C19" s="41"/>
      <c r="D19" s="65"/>
      <c r="E19" s="65"/>
      <c r="F19" s="41"/>
      <c r="G19" s="41"/>
      <c r="H19" s="41"/>
      <c r="I19" s="41"/>
      <c r="J19" s="41">
        <v>6772.74</v>
      </c>
      <c r="K19" s="9">
        <v>509.35</v>
      </c>
      <c r="L19" s="9">
        <v>509.84</v>
      </c>
      <c r="M19" s="9">
        <v>509.84</v>
      </c>
      <c r="N19" s="9">
        <v>509.84</v>
      </c>
      <c r="O19" s="9">
        <v>509.84</v>
      </c>
      <c r="P19" s="9">
        <v>509.84</v>
      </c>
      <c r="Q19" s="10">
        <v>217.94</v>
      </c>
      <c r="R19" s="10">
        <v>525.93</v>
      </c>
      <c r="S19" s="10">
        <v>525.93</v>
      </c>
      <c r="T19" s="10">
        <v>525.93</v>
      </c>
      <c r="U19" s="10">
        <v>525.93</v>
      </c>
      <c r="V19" s="10">
        <v>525.93</v>
      </c>
      <c r="W19" s="52">
        <f>SUM(K19:V19)</f>
        <v>5906.140000000001</v>
      </c>
      <c r="X19" s="46">
        <f>SUM(C19:V19)</f>
        <v>12678.880000000003</v>
      </c>
    </row>
    <row r="20" spans="1:24" ht="15" customHeight="1" thickBot="1">
      <c r="A20" s="34"/>
      <c r="B20" s="29" t="s">
        <v>66</v>
      </c>
      <c r="C20" s="41"/>
      <c r="D20" s="65"/>
      <c r="E20" s="65"/>
      <c r="F20" s="41"/>
      <c r="G20" s="41"/>
      <c r="H20" s="41"/>
      <c r="I20" s="41"/>
      <c r="J20" s="41">
        <v>1160.74</v>
      </c>
      <c r="K20" s="9">
        <v>166.38</v>
      </c>
      <c r="L20" s="9">
        <v>166.38</v>
      </c>
      <c r="M20" s="9">
        <v>166.38</v>
      </c>
      <c r="N20" s="9">
        <v>166.38</v>
      </c>
      <c r="O20" s="9">
        <v>166.38</v>
      </c>
      <c r="P20" s="9">
        <v>166.38</v>
      </c>
      <c r="Q20" s="10">
        <v>167.81</v>
      </c>
      <c r="R20" s="10">
        <v>167.81</v>
      </c>
      <c r="S20" s="10">
        <v>167.81</v>
      </c>
      <c r="T20" s="10">
        <v>167.81</v>
      </c>
      <c r="U20" s="10">
        <v>167.81</v>
      </c>
      <c r="V20" s="10">
        <v>167.81</v>
      </c>
      <c r="W20" s="52">
        <f>SUM(K20:V20)</f>
        <v>2005.1399999999996</v>
      </c>
      <c r="X20" s="46">
        <f>SUM(C20:V20)</f>
        <v>3165.88</v>
      </c>
    </row>
    <row r="21" spans="1:24" ht="16.5" customHeight="1" thickBot="1">
      <c r="A21" s="34" t="s">
        <v>33</v>
      </c>
      <c r="B21" s="29" t="s">
        <v>6</v>
      </c>
      <c r="C21" s="41">
        <v>1650.24</v>
      </c>
      <c r="D21" s="65">
        <v>1270</v>
      </c>
      <c r="E21" s="65">
        <v>1250.37</v>
      </c>
      <c r="F21" s="41">
        <v>1071.95</v>
      </c>
      <c r="G21" s="41">
        <v>1297.62</v>
      </c>
      <c r="H21" s="41">
        <v>1255.87</v>
      </c>
      <c r="I21" s="41">
        <v>911.57</v>
      </c>
      <c r="J21" s="41">
        <v>1276.52</v>
      </c>
      <c r="K21" s="9"/>
      <c r="L21" s="10"/>
      <c r="M21" s="10">
        <v>264.79</v>
      </c>
      <c r="N21" s="10"/>
      <c r="O21" s="10"/>
      <c r="P21" s="10">
        <v>248.25</v>
      </c>
      <c r="Q21" s="10"/>
      <c r="R21" s="10"/>
      <c r="S21" s="10">
        <v>248.24</v>
      </c>
      <c r="T21" s="10"/>
      <c r="U21" s="10"/>
      <c r="V21" s="17">
        <v>198.59</v>
      </c>
      <c r="W21" s="52">
        <f t="shared" si="3"/>
        <v>959.87</v>
      </c>
      <c r="X21" s="46">
        <f t="shared" si="4"/>
        <v>10944.01</v>
      </c>
    </row>
    <row r="22" spans="1:24" ht="21" customHeight="1" thickBot="1">
      <c r="A22" s="34" t="s">
        <v>34</v>
      </c>
      <c r="B22" s="29" t="s">
        <v>68</v>
      </c>
      <c r="C22" s="41">
        <v>3803.2</v>
      </c>
      <c r="D22" s="65">
        <v>13549.99</v>
      </c>
      <c r="E22" s="65">
        <v>17218.1</v>
      </c>
      <c r="F22" s="41">
        <v>15864.24</v>
      </c>
      <c r="G22" s="41">
        <v>11316.68</v>
      </c>
      <c r="H22" s="41">
        <v>13343.45</v>
      </c>
      <c r="I22" s="41">
        <v>14113.76</v>
      </c>
      <c r="J22" s="41">
        <v>14335.19</v>
      </c>
      <c r="K22" s="9">
        <v>1250.1</v>
      </c>
      <c r="L22" s="10">
        <v>1146.82</v>
      </c>
      <c r="M22" s="10">
        <v>1529.43</v>
      </c>
      <c r="N22" s="10">
        <v>1192.64</v>
      </c>
      <c r="O22" s="10">
        <v>1003.11</v>
      </c>
      <c r="P22" s="10">
        <v>1453.89</v>
      </c>
      <c r="Q22" s="10">
        <v>1182.63</v>
      </c>
      <c r="R22" s="10">
        <v>1209.42</v>
      </c>
      <c r="S22" s="10">
        <v>993.98</v>
      </c>
      <c r="T22" s="10">
        <v>1492.07</v>
      </c>
      <c r="U22" s="10">
        <v>1319.13</v>
      </c>
      <c r="V22" s="17">
        <v>1288.16</v>
      </c>
      <c r="W22" s="52">
        <f t="shared" si="3"/>
        <v>15061.380000000001</v>
      </c>
      <c r="X22" s="46">
        <f t="shared" si="4"/>
        <v>118605.99</v>
      </c>
    </row>
    <row r="23" spans="1:24" ht="24.75" customHeight="1" thickBot="1">
      <c r="A23" s="34" t="s">
        <v>35</v>
      </c>
      <c r="B23" s="29" t="s">
        <v>56</v>
      </c>
      <c r="C23" s="41">
        <v>6723.12</v>
      </c>
      <c r="D23" s="65">
        <v>7927.39</v>
      </c>
      <c r="E23" s="65">
        <v>2209.8</v>
      </c>
      <c r="F23" s="41">
        <v>1569.19</v>
      </c>
      <c r="G23" s="41">
        <v>3404.11</v>
      </c>
      <c r="H23" s="41">
        <v>2299.66</v>
      </c>
      <c r="I23" s="41">
        <v>2007.85</v>
      </c>
      <c r="J23" s="41">
        <v>1568.11</v>
      </c>
      <c r="K23" s="9">
        <v>123.56</v>
      </c>
      <c r="L23" s="10">
        <v>82.95</v>
      </c>
      <c r="M23" s="10">
        <v>58.9</v>
      </c>
      <c r="N23" s="10">
        <v>82.77</v>
      </c>
      <c r="O23" s="10">
        <v>76.85</v>
      </c>
      <c r="P23" s="10">
        <v>91.64</v>
      </c>
      <c r="Q23" s="10">
        <v>280.26</v>
      </c>
      <c r="R23" s="10">
        <v>71.76</v>
      </c>
      <c r="S23" s="10">
        <v>88.85</v>
      </c>
      <c r="T23" s="10">
        <v>76.94</v>
      </c>
      <c r="U23" s="10">
        <v>367.9</v>
      </c>
      <c r="V23" s="17">
        <v>116.95</v>
      </c>
      <c r="W23" s="52">
        <f t="shared" si="3"/>
        <v>1519.3300000000002</v>
      </c>
      <c r="X23" s="46">
        <f t="shared" si="4"/>
        <v>29228.559999999998</v>
      </c>
    </row>
    <row r="24" spans="1:24" ht="33" customHeight="1" thickBot="1">
      <c r="A24" s="34" t="s">
        <v>36</v>
      </c>
      <c r="B24" s="29" t="s">
        <v>57</v>
      </c>
      <c r="C24" s="41">
        <v>8196.99</v>
      </c>
      <c r="D24" s="65">
        <v>12700.45</v>
      </c>
      <c r="E24" s="65">
        <v>11486.62</v>
      </c>
      <c r="F24" s="41">
        <v>15391.51</v>
      </c>
      <c r="G24" s="41">
        <v>13220.91</v>
      </c>
      <c r="H24" s="41">
        <v>18540.03</v>
      </c>
      <c r="I24" s="41">
        <v>14686.46</v>
      </c>
      <c r="J24" s="41">
        <v>15365.16</v>
      </c>
      <c r="K24" s="9">
        <f>61.84+442.26+683.23</f>
        <v>1187.33</v>
      </c>
      <c r="L24" s="10">
        <f>648.67+67.77+598.3</f>
        <v>1314.7399999999998</v>
      </c>
      <c r="M24" s="10">
        <f>657.01+67.18+649.31</f>
        <v>1373.5</v>
      </c>
      <c r="N24" s="10">
        <f>692.1+68.08+505.82</f>
        <v>1266</v>
      </c>
      <c r="O24" s="10">
        <f>839.13+61.17+394.74</f>
        <v>1295.04</v>
      </c>
      <c r="P24" s="10">
        <f>673.91+57.37+376.67</f>
        <v>1107.95</v>
      </c>
      <c r="Q24" s="10">
        <f>64.56+437.7+850.45</f>
        <v>1352.71</v>
      </c>
      <c r="R24" s="10">
        <f>68.55+665.17+659.29</f>
        <v>1393.0099999999998</v>
      </c>
      <c r="S24" s="10">
        <f>768.13+53.93+514.43</f>
        <v>1336.4899999999998</v>
      </c>
      <c r="T24" s="10">
        <f>71.99+925.74+748.78</f>
        <v>1746.51</v>
      </c>
      <c r="U24" s="10">
        <f>58.99+516.37+1072.69</f>
        <v>1648.0500000000002</v>
      </c>
      <c r="V24" s="17">
        <f>974.03+68.22+873.91</f>
        <v>1916.1599999999999</v>
      </c>
      <c r="W24" s="52">
        <f t="shared" si="3"/>
        <v>16937.49</v>
      </c>
      <c r="X24" s="46">
        <f t="shared" si="4"/>
        <v>126525.62000000001</v>
      </c>
    </row>
    <row r="25" spans="1:24" ht="15.75" customHeight="1" thickBot="1">
      <c r="A25" s="34" t="s">
        <v>48</v>
      </c>
      <c r="B25" s="29" t="s">
        <v>9</v>
      </c>
      <c r="C25" s="41">
        <v>92627.52</v>
      </c>
      <c r="D25" s="65">
        <v>114563.79</v>
      </c>
      <c r="E25" s="65">
        <v>144277.21</v>
      </c>
      <c r="F25" s="41">
        <v>152072.95</v>
      </c>
      <c r="G25" s="41">
        <v>155279.28</v>
      </c>
      <c r="H25" s="41">
        <v>171800.29</v>
      </c>
      <c r="I25" s="41">
        <v>164728.99</v>
      </c>
      <c r="J25" s="41">
        <v>175963</v>
      </c>
      <c r="K25" s="9">
        <f>28134.2-12347.38</f>
        <v>15786.820000000002</v>
      </c>
      <c r="L25" s="10">
        <f>27861.7-12715.32</f>
        <v>15146.380000000001</v>
      </c>
      <c r="M25" s="10">
        <f>30919.45-16499.41</f>
        <v>14420.04</v>
      </c>
      <c r="N25" s="10">
        <f>27435.38-12618.51</f>
        <v>14816.87</v>
      </c>
      <c r="O25" s="10">
        <f>42824.42-28412.12</f>
        <v>14412.3</v>
      </c>
      <c r="P25" s="10">
        <f>27435.8-13118.4</f>
        <v>14317.4</v>
      </c>
      <c r="Q25" s="10">
        <f>27923.8-12854.39</f>
        <v>15069.41</v>
      </c>
      <c r="R25" s="10">
        <f>32182.6-17677.63</f>
        <v>14504.969999999998</v>
      </c>
      <c r="S25" s="10">
        <f>25220.11-11710.18</f>
        <v>13509.93</v>
      </c>
      <c r="T25" s="10">
        <f>34754.57-19262.32</f>
        <v>15492.25</v>
      </c>
      <c r="U25" s="10">
        <f>25829.89-10894.58</f>
        <v>14935.31</v>
      </c>
      <c r="V25" s="17">
        <f>28587.1-12129.87-0.1</f>
        <v>16457.129999999997</v>
      </c>
      <c r="W25" s="52">
        <f t="shared" si="3"/>
        <v>178868.81</v>
      </c>
      <c r="X25" s="46">
        <f t="shared" si="4"/>
        <v>1350181.8399999999</v>
      </c>
    </row>
    <row r="26" spans="1:24" ht="13.5" customHeight="1" thickBot="1">
      <c r="A26" s="34" t="s">
        <v>50</v>
      </c>
      <c r="B26" s="30" t="s">
        <v>3</v>
      </c>
      <c r="C26" s="42">
        <v>9757.53</v>
      </c>
      <c r="D26" s="66">
        <v>19361.12</v>
      </c>
      <c r="E26" s="66">
        <v>13838.78</v>
      </c>
      <c r="F26" s="42">
        <v>12963.49</v>
      </c>
      <c r="G26" s="42">
        <v>13764.64</v>
      </c>
      <c r="H26" s="42">
        <v>12874.92</v>
      </c>
      <c r="I26" s="42">
        <v>12949.67</v>
      </c>
      <c r="J26" s="42">
        <v>15026.49</v>
      </c>
      <c r="K26" s="11">
        <f>119.44+1023.3</f>
        <v>1142.74</v>
      </c>
      <c r="L26" s="12">
        <f>120.13+1033.89</f>
        <v>1154.02</v>
      </c>
      <c r="M26" s="12">
        <f>129.61+1145.02</f>
        <v>1274.63</v>
      </c>
      <c r="N26" s="12">
        <f>134.2+1155.25</f>
        <v>1289.45</v>
      </c>
      <c r="O26" s="12">
        <f>130.39+1177.75</f>
        <v>1308.1399999999999</v>
      </c>
      <c r="P26" s="12">
        <f>124.47+1070.28</f>
        <v>1194.75</v>
      </c>
      <c r="Q26" s="12">
        <f>120.46+1030.45</f>
        <v>1150.91</v>
      </c>
      <c r="R26" s="12">
        <f>132.71+1087.09</f>
        <v>1219.8</v>
      </c>
      <c r="S26" s="12">
        <f>55.43+1303.04</f>
        <v>1358.47</v>
      </c>
      <c r="T26" s="12">
        <f>24.9+31.39+1080.7</f>
        <v>1136.99</v>
      </c>
      <c r="U26" s="12">
        <f>58.9+29.48+1044.51</f>
        <v>1132.8899999999999</v>
      </c>
      <c r="V26" s="18">
        <f>30.49+1081.97</f>
        <v>1112.46</v>
      </c>
      <c r="W26" s="52">
        <f t="shared" si="3"/>
        <v>14475.249999999996</v>
      </c>
      <c r="X26" s="46">
        <f t="shared" si="4"/>
        <v>125011.89000000003</v>
      </c>
    </row>
    <row r="27" spans="1:24" ht="13.5" customHeight="1" thickBot="1">
      <c r="A27" s="34"/>
      <c r="B27" s="37" t="s">
        <v>53</v>
      </c>
      <c r="C27" s="68"/>
      <c r="D27" s="69"/>
      <c r="E27" s="69"/>
      <c r="F27" s="68"/>
      <c r="G27" s="71">
        <f>G8*5%</f>
        <v>17247.279000000002</v>
      </c>
      <c r="H27" s="71">
        <f>H8*5%</f>
        <v>17241.738</v>
      </c>
      <c r="I27" s="71">
        <f>I8*5%</f>
        <v>17245.878</v>
      </c>
      <c r="J27" s="84">
        <f>J8*5%</f>
        <v>17241.275</v>
      </c>
      <c r="K27" s="70">
        <f>SUM(K8+K9)*5%</f>
        <v>1605.9005</v>
      </c>
      <c r="L27" s="70">
        <f aca="true" t="shared" si="5" ref="L27:V27">SUM(L8+L9)*5%</f>
        <v>1605.9005</v>
      </c>
      <c r="M27" s="70">
        <f t="shared" si="5"/>
        <v>1605.9005</v>
      </c>
      <c r="N27" s="70">
        <f t="shared" si="5"/>
        <v>1605.9005</v>
      </c>
      <c r="O27" s="70">
        <f t="shared" si="5"/>
        <v>1605.9005</v>
      </c>
      <c r="P27" s="70">
        <f t="shared" si="5"/>
        <v>1605.9005</v>
      </c>
      <c r="Q27" s="70">
        <f t="shared" si="5"/>
        <v>1613.2745000000002</v>
      </c>
      <c r="R27" s="70">
        <f t="shared" si="5"/>
        <v>1476.923</v>
      </c>
      <c r="S27" s="70">
        <f t="shared" si="5"/>
        <v>1476.923</v>
      </c>
      <c r="T27" s="70">
        <f t="shared" si="5"/>
        <v>1476.923</v>
      </c>
      <c r="U27" s="70">
        <f t="shared" si="5"/>
        <v>1476.923</v>
      </c>
      <c r="V27" s="70">
        <f t="shared" si="5"/>
        <v>1476.923</v>
      </c>
      <c r="W27" s="71">
        <f t="shared" si="3"/>
        <v>18633.2925</v>
      </c>
      <c r="X27" s="58"/>
    </row>
    <row r="28" spans="1:24" ht="13.5" customHeight="1" thickBot="1">
      <c r="A28" s="74" t="s">
        <v>37</v>
      </c>
      <c r="B28" s="56" t="s">
        <v>44</v>
      </c>
      <c r="C28" s="57"/>
      <c r="D28" s="67"/>
      <c r="E28" s="67"/>
      <c r="F28" s="57"/>
      <c r="G28" s="57"/>
      <c r="H28" s="57"/>
      <c r="I28" s="57"/>
      <c r="J28" s="83">
        <f aca="true" t="shared" si="6" ref="J28:V28">SUM(J8+J9-J10)-J27</f>
        <v>-28683.034999999894</v>
      </c>
      <c r="K28" s="72">
        <f t="shared" si="6"/>
        <v>2377.909499999998</v>
      </c>
      <c r="L28" s="72">
        <f t="shared" si="6"/>
        <v>2650.409499999998</v>
      </c>
      <c r="M28" s="72">
        <f t="shared" si="6"/>
        <v>-407.3405000000023</v>
      </c>
      <c r="N28" s="72">
        <f t="shared" si="6"/>
        <v>3076.7294999999976</v>
      </c>
      <c r="O28" s="72">
        <f t="shared" si="6"/>
        <v>-12312.3105</v>
      </c>
      <c r="P28" s="72">
        <f t="shared" si="6"/>
        <v>3076.309500000003</v>
      </c>
      <c r="Q28" s="72">
        <f t="shared" si="6"/>
        <v>2728.4154999999982</v>
      </c>
      <c r="R28" s="72">
        <f t="shared" si="6"/>
        <v>-4121.062999999996</v>
      </c>
      <c r="S28" s="72">
        <f t="shared" si="6"/>
        <v>2841.4269999999988</v>
      </c>
      <c r="T28" s="72">
        <f t="shared" si="6"/>
        <v>-6693.033</v>
      </c>
      <c r="U28" s="72">
        <f t="shared" si="6"/>
        <v>2231.647</v>
      </c>
      <c r="V28" s="72">
        <f t="shared" si="6"/>
        <v>-525.4630000000009</v>
      </c>
      <c r="W28" s="83">
        <f t="shared" si="3"/>
        <v>-5076.362500000005</v>
      </c>
      <c r="X28" s="58"/>
    </row>
    <row r="29" spans="1:24" ht="23.25" customHeight="1" thickBot="1">
      <c r="A29" s="80" t="s">
        <v>38</v>
      </c>
      <c r="B29" s="93" t="s">
        <v>22</v>
      </c>
      <c r="C29" s="94">
        <v>-18327.6</v>
      </c>
      <c r="D29" s="88">
        <f>SUM(D8-D10)</f>
        <v>54360.91000000003</v>
      </c>
      <c r="E29" s="89">
        <f>SUM(E8-E10)</f>
        <v>39121.34999999998</v>
      </c>
      <c r="F29" s="87">
        <f>SUM(F8-F10)</f>
        <v>32961.06</v>
      </c>
      <c r="G29" s="95">
        <f>SUM(G8-G10)-G27</f>
        <v>39991.62100000002</v>
      </c>
      <c r="H29" s="95">
        <f>SUM(H8-H10)-H27</f>
        <v>15178.68200000004</v>
      </c>
      <c r="I29" s="95">
        <f>SUM(I8-I10)-I27</f>
        <v>32022.002000000004</v>
      </c>
      <c r="J29" s="95">
        <f>SUM(J8+J9-J10)-J27</f>
        <v>-28683.034999999894</v>
      </c>
      <c r="K29" s="96">
        <f>SUM(K8+K9-K10)-K27</f>
        <v>2377.909499999998</v>
      </c>
      <c r="L29" s="97">
        <f>SUM(L28+K29)</f>
        <v>5028.318999999996</v>
      </c>
      <c r="M29" s="97">
        <f aca="true" t="shared" si="7" ref="M29:V29">SUM(M28+L29)</f>
        <v>4620.978499999994</v>
      </c>
      <c r="N29" s="97">
        <f t="shared" si="7"/>
        <v>7697.707999999991</v>
      </c>
      <c r="O29" s="97">
        <f t="shared" si="7"/>
        <v>-4614.602500000008</v>
      </c>
      <c r="P29" s="97">
        <f t="shared" si="7"/>
        <v>-1538.2930000000051</v>
      </c>
      <c r="Q29" s="97">
        <f t="shared" si="7"/>
        <v>1190.1224999999931</v>
      </c>
      <c r="R29" s="97">
        <f t="shared" si="7"/>
        <v>-2930.9405000000024</v>
      </c>
      <c r="S29" s="97">
        <f t="shared" si="7"/>
        <v>-89.51350000000366</v>
      </c>
      <c r="T29" s="97">
        <f t="shared" si="7"/>
        <v>-6782.546500000004</v>
      </c>
      <c r="U29" s="97">
        <f t="shared" si="7"/>
        <v>-4550.899500000004</v>
      </c>
      <c r="V29" s="97">
        <f t="shared" si="7"/>
        <v>-5076.362500000005</v>
      </c>
      <c r="W29" s="87"/>
      <c r="X29" s="101"/>
    </row>
    <row r="30" spans="1:24" ht="21" customHeight="1" hidden="1" thickBot="1">
      <c r="A30" s="75" t="s">
        <v>39</v>
      </c>
      <c r="B30" s="31" t="s">
        <v>23</v>
      </c>
      <c r="C30" s="38">
        <v>-18327.6</v>
      </c>
      <c r="D30" s="13">
        <f>SUM(D8-D10,C30)</f>
        <v>36033.310000000034</v>
      </c>
      <c r="E30" s="76">
        <f>SUM(E8-E10,D30)</f>
        <v>75154.66</v>
      </c>
      <c r="F30" s="77">
        <f>SUM(F8-F10,E30)</f>
        <v>108115.72</v>
      </c>
      <c r="G30" s="78">
        <f>SUM(G29+F30)</f>
        <v>148107.34100000001</v>
      </c>
      <c r="H30" s="78">
        <f>SUM(H29+G30)</f>
        <v>163286.02300000004</v>
      </c>
      <c r="I30" s="78">
        <f>SUM(I29+H30)</f>
        <v>195308.02500000005</v>
      </c>
      <c r="J30" s="78">
        <f>SUM(J29+I30)</f>
        <v>166624.99000000017</v>
      </c>
      <c r="K30" s="78">
        <f>SUM(K29+J30)</f>
        <v>169002.89950000017</v>
      </c>
      <c r="L30" s="79">
        <f>SUM(L28+K30)</f>
        <v>171653.30900000018</v>
      </c>
      <c r="M30" s="79">
        <f>SUM(M28+L30)</f>
        <v>171245.9685000002</v>
      </c>
      <c r="N30" s="79">
        <f aca="true" t="shared" si="8" ref="N30:U30">SUM(N28+M30)</f>
        <v>174322.69800000018</v>
      </c>
      <c r="O30" s="79">
        <f t="shared" si="8"/>
        <v>162010.3875000002</v>
      </c>
      <c r="P30" s="79">
        <f t="shared" si="8"/>
        <v>165086.6970000002</v>
      </c>
      <c r="Q30" s="79">
        <f t="shared" si="8"/>
        <v>167815.1125000002</v>
      </c>
      <c r="R30" s="79">
        <f t="shared" si="8"/>
        <v>163694.0495000002</v>
      </c>
      <c r="S30" s="79">
        <f t="shared" si="8"/>
        <v>166535.4765000002</v>
      </c>
      <c r="T30" s="79">
        <f t="shared" si="8"/>
        <v>159842.4435000002</v>
      </c>
      <c r="U30" s="79">
        <f t="shared" si="8"/>
        <v>162074.0905000002</v>
      </c>
      <c r="V30" s="79">
        <f>SUM(V28+U30)</f>
        <v>161548.6275000002</v>
      </c>
      <c r="W30" s="81"/>
      <c r="X30" s="47"/>
    </row>
    <row r="31" spans="1:24" ht="12.75" customHeight="1" hidden="1" thickBot="1">
      <c r="A31" s="34"/>
      <c r="B31" s="43"/>
      <c r="C31" s="38"/>
      <c r="D31" s="38"/>
      <c r="E31" s="60"/>
      <c r="F31" s="60"/>
      <c r="G31" s="60"/>
      <c r="H31" s="60"/>
      <c r="I31" s="60"/>
      <c r="J31" s="60"/>
      <c r="K31" s="1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9"/>
      <c r="W31" s="53"/>
      <c r="X31" s="48"/>
    </row>
    <row r="32" spans="1:24" ht="14.25" customHeight="1" hidden="1" thickBot="1">
      <c r="A32" s="35"/>
      <c r="B32" s="31"/>
      <c r="C32" s="38"/>
      <c r="D32" s="38"/>
      <c r="E32" s="60"/>
      <c r="F32" s="60"/>
      <c r="G32" s="60"/>
      <c r="H32" s="60"/>
      <c r="I32" s="60"/>
      <c r="J32" s="60"/>
      <c r="K32" s="1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9"/>
      <c r="W32" s="52"/>
      <c r="X32" s="49"/>
    </row>
    <row r="33" spans="1:24" ht="12.75" customHeight="1" hidden="1" thickBot="1">
      <c r="A33" s="35"/>
      <c r="B33" s="32"/>
      <c r="C33" s="39"/>
      <c r="D33" s="39"/>
      <c r="E33" s="61"/>
      <c r="F33" s="61"/>
      <c r="G33" s="61"/>
      <c r="H33" s="61"/>
      <c r="I33" s="61"/>
      <c r="J33" s="61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 s="54"/>
      <c r="X33" s="50"/>
    </row>
    <row r="34" spans="1:24" ht="13.5" customHeight="1" hidden="1" thickBot="1">
      <c r="A34" s="44"/>
      <c r="B34" s="32"/>
      <c r="C34" s="39"/>
      <c r="D34" s="39"/>
      <c r="E34" s="61"/>
      <c r="F34" s="61"/>
      <c r="G34" s="61"/>
      <c r="H34" s="61"/>
      <c r="I34" s="61"/>
      <c r="J34" s="61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  <c r="W34" s="54"/>
      <c r="X34" s="50"/>
    </row>
    <row r="35" spans="2:24" ht="18" customHeight="1">
      <c r="B35" t="s">
        <v>45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1"/>
    </row>
    <row r="36" ht="12.75" customHeight="1"/>
    <row r="37" ht="12" customHeight="1"/>
    <row r="38" ht="14.25" customHeight="1"/>
    <row r="39" ht="10.5" customHeight="1"/>
    <row r="44" ht="12.75" customHeight="1"/>
    <row r="45" ht="12.75" customHeight="1"/>
  </sheetData>
  <sheetProtection/>
  <mergeCells count="5">
    <mergeCell ref="B4:X4"/>
    <mergeCell ref="B5:X5"/>
    <mergeCell ref="B3:X3"/>
    <mergeCell ref="B1:M1"/>
    <mergeCell ref="B2:T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2019-02-11T10:37:34Z</cp:lastPrinted>
  <dcterms:created xsi:type="dcterms:W3CDTF">2011-06-16T11:06:26Z</dcterms:created>
  <dcterms:modified xsi:type="dcterms:W3CDTF">2019-02-14T05:29:05Z</dcterms:modified>
  <cp:category/>
  <cp:version/>
  <cp:contentType/>
  <cp:contentStatus/>
</cp:coreProperties>
</file>