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<sst xmlns="http://schemas.openxmlformats.org/spreadsheetml/2006/main" count="79" uniqueCount="79">
  <si>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</si>
  <si>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</si>
  <si>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</si>
  <si>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</si>
  <si>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</si>
  <si>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</si>
  <si>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</si>
  <si>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</si>
  <si>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</si>
  <si>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</si>
  <si>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</si>
  <si>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</si>
  <si>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</si>
  <si>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</si>
  <si>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</si>
  <si>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</si>
  <si>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</si>
  <si>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</si>
  <si>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</si>
  <si>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</si>
  <si>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</si>
  <si>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</si>
  <si>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</si>
  <si>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</si>
  <si>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</si>
  <si>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</si>
  <si>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</si>
  <si>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</si>
  <si>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</si>
  <si>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</si>
  <si>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</si>
  <si>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</si>
  <si>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</si>
  <si>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</si>
  <si>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</si>
  <si>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</si>
  <si>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</si>
  <si>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</si>
  <si>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</si>
  <si>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</si>
  <si>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</si>
  <si>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</si>
  <si>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</si>
  <si>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</si>
  <si>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</si>
  <si>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</si>
  <si>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</si>
  <si>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</si>
  <si>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</si>
  <si>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Первомайская д.9 А</t>
  </si>
  <si>
    <t>Благоустройство  территории</t>
  </si>
  <si>
    <t>11</t>
  </si>
  <si>
    <t>Итого за 2011 г</t>
  </si>
  <si>
    <t>Результат за месяц</t>
  </si>
  <si>
    <t>Исполнитель /Викторова Л.С./</t>
  </si>
  <si>
    <t>Дом по ул.Первомайская д.9 А вступил в ООО "Наш дом" с апреля 2010 года              тариф 9,2 руб</t>
  </si>
  <si>
    <t>Итого за 2012 г</t>
  </si>
  <si>
    <t>4.13</t>
  </si>
  <si>
    <t>4.14</t>
  </si>
  <si>
    <t xml:space="preserve">Материалы </t>
  </si>
  <si>
    <t>Итого за 2013 г</t>
  </si>
  <si>
    <t>Итого за 2014</t>
  </si>
  <si>
    <t>рентабельность 5%</t>
  </si>
  <si>
    <t>Итого за 2015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</si>
  <si>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</si>
  <si>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</si>
  <si>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</si>
  <si>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Итого за 2016</t>
  </si>
  <si>
    <t>4.4</t>
  </si>
  <si>
    <t>Проверка вент.каналов</t>
  </si>
  <si>
    <t>Итого за 2017</t>
  </si>
  <si>
    <t>Начислено  СОИД</t>
  </si>
  <si>
    <t>Электроэнергия СОИД</t>
  </si>
  <si>
    <t>Горячая вода СОИД</t>
  </si>
  <si>
    <t>Холодная вода СОИД</t>
  </si>
  <si>
    <t>Канализация СОИД</t>
  </si>
  <si>
    <t>Транспортные(ГСМ,зап.части,амортизация,страхован)</t>
  </si>
  <si>
    <t>Итого за 2018</t>
  </si>
  <si>
    <t>Всего за 2010-2018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</si>
</sst>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5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1" fillId="0" borderId="27" xfId="0" applyFont="1" applyBorder="1" applyAlignment="1">
      <alignment wrapText="1"/>
    </xf>
    <xf numFmtId="49" fontId="0" fillId="0" borderId="36" xfId="0" applyNumberFormat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7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1" fillId="0" borderId="38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0" fontId="26" fillId="0" borderId="32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6" fillId="0" borderId="40" xfId="0" applyFont="1" applyBorder="1" applyAlignment="1">
      <alignment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0" fontId="26" fillId="0" borderId="37" xfId="0" applyFont="1" applyBorder="1" applyAlignment="1">
      <alignment wrapText="1"/>
    </xf>
    <xf numFmtId="2" fontId="27" fillId="0" borderId="35" xfId="0" applyNumberFormat="1" applyFont="1" applyBorder="1" applyAlignment="1">
      <alignment/>
    </xf>
    <xf numFmtId="2" fontId="27" fillId="0" borderId="47" xfId="0" applyNumberFormat="1" applyFont="1" applyBorder="1" applyAlignment="1">
      <alignment/>
    </xf>
    <xf numFmtId="2" fontId="21" fillId="0" borderId="48" xfId="0" applyNumberFormat="1" applyFont="1" applyBorder="1" applyAlignment="1">
      <alignment/>
    </xf>
    <xf numFmtId="0" fontId="27" fillId="0" borderId="32" xfId="0" applyFont="1" applyBorder="1" applyAlignment="1">
      <alignment/>
    </xf>
    <xf numFmtId="2" fontId="21" fillId="0" borderId="39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8" fillId="0" borderId="35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35" xfId="0" applyNumberFormat="1" applyFont="1" applyBorder="1" applyAlignment="1">
      <alignment/>
    </xf>
    <xf numFmtId="0" fontId="22" fillId="0" borderId="0" xfId="0" applyFont="1" applyAlignment="1">
      <alignment/>
    </xf>
    <xf numFmtId="2" fontId="28" fillId="0" borderId="35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8" fillId="0" borderId="35" xfId="0" applyFont="1" applyBorder="1" applyAlignment="1">
      <alignment wrapText="1"/>
    </xf>
    <xf numFmtId="2" fontId="28" fillId="0" borderId="11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0" fontId="22" fillId="0" borderId="2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10">
      <selection activeCell="B29" sqref="B29:X29"/>
    </sheetView>
  </sheetViews>
  <sheetFormatPr defaultColWidth="9.00390625" defaultRowHeight="12.75"/>
  <cols>
    <col min="1" max="1" width="0.12890625" style="26" customWidth="1"/>
    <col min="2" max="2" width="22.00390625" style="0" customWidth="1"/>
    <col min="3" max="3" width="8.625" style="0" hidden="1" customWidth="1"/>
    <col min="4" max="4" width="8.00390625" style="0" hidden="1" customWidth="1"/>
    <col min="5" max="5" width="10.25390625" style="0" hidden="1" customWidth="1"/>
    <col min="6" max="6" width="9.625" style="0" hidden="1" customWidth="1"/>
    <col min="7" max="7" width="9.375" style="0" hidden="1" customWidth="1"/>
    <col min="8" max="8" width="9.75390625" style="0" hidden="1" customWidth="1"/>
    <col min="9" max="9" width="10.125" style="0" hidden="1" customWidth="1"/>
    <col min="10" max="10" width="9.375" style="0" hidden="1" customWidth="1"/>
    <col min="11" max="11" width="7.875" style="0" customWidth="1"/>
    <col min="12" max="12" width="8.625" style="0" customWidth="1"/>
    <col min="13" max="14" width="8.375" style="0" customWidth="1"/>
    <col min="16" max="19" width="8.75390625" style="0" customWidth="1"/>
    <col min="20" max="20" width="8.125" style="0" customWidth="1"/>
    <col min="21" max="21" width="8.75390625" style="0" customWidth="1"/>
    <col min="22" max="23" width="9.00390625" style="0" customWidth="1"/>
    <col min="24" max="24" width="10.25390625" style="0" customWidth="1"/>
  </cols>
  <sheetData>
    <row r="1" spans="2:29" ht="12.75" customHeight="1">
      <c r="B1" s="90" t="s">
        <v>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90" t="s">
        <v>55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4"/>
      <c r="V2" s="4"/>
      <c r="W2" s="4"/>
      <c r="X2" s="4"/>
      <c r="Y2" s="4"/>
      <c r="Z2" s="4"/>
      <c r="AA2" s="4"/>
      <c r="AB2" s="4"/>
      <c r="AC2" s="4"/>
    </row>
    <row r="3" spans="2:29" ht="12.75" customHeight="1"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3"/>
      <c r="Z3" s="3"/>
      <c r="AA3" s="3"/>
      <c r="AB3" s="3"/>
      <c r="AC3" s="3"/>
    </row>
    <row r="4" spans="2:29" ht="15" customHeight="1">
      <c r="B4" s="88" t="s">
        <v>11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2"/>
      <c r="Z4" s="2"/>
      <c r="AA4" s="2"/>
      <c r="AB4" s="2"/>
      <c r="AC4" s="2"/>
    </row>
    <row r="5" spans="2:29" ht="16.5" customHeight="1">
      <c r="B5" s="88" t="s">
        <v>49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2"/>
      <c r="Z5" s="2"/>
      <c r="AA5" s="2"/>
      <c r="AB5" s="2"/>
      <c r="AC5" s="2"/>
    </row>
    <row r="6" spans="2:29" ht="1.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</row>
    <row r="7" spans="1:29" ht="28.5" customHeight="1" thickBot="1">
      <c r="A7" s="35" t="s">
        <v>28</v>
      </c>
      <c r="B7" s="27" t="s">
        <v>7</v>
      </c>
      <c r="C7" s="38" t="s">
        <v>46</v>
      </c>
      <c r="D7" s="52" t="s">
        <v>52</v>
      </c>
      <c r="E7" s="52" t="s">
        <v>56</v>
      </c>
      <c r="F7" s="52" t="s">
        <v>60</v>
      </c>
      <c r="G7" s="52" t="s">
        <v>61</v>
      </c>
      <c r="H7" s="52" t="s">
        <v>63</v>
      </c>
      <c r="I7" s="52" t="s">
        <v>67</v>
      </c>
      <c r="J7" s="52" t="s">
        <v>70</v>
      </c>
      <c r="K7" s="6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5" t="s">
        <v>18</v>
      </c>
      <c r="R7" s="5" t="s">
        <v>19</v>
      </c>
      <c r="S7" s="5" t="s">
        <v>20</v>
      </c>
      <c r="T7" s="5" t="s">
        <v>21</v>
      </c>
      <c r="U7" s="5" t="s">
        <v>23</v>
      </c>
      <c r="V7" s="15" t="s">
        <v>22</v>
      </c>
      <c r="W7" s="52" t="s">
        <v>77</v>
      </c>
      <c r="X7" s="47" t="s">
        <v>78</v>
      </c>
      <c r="Y7" s="1"/>
      <c r="Z7" s="1"/>
      <c r="AA7" s="1"/>
      <c r="AB7" s="1"/>
      <c r="AC7" s="1"/>
    </row>
    <row r="8" spans="1:24" ht="13.5" thickBot="1">
      <c r="A8" s="36" t="s">
        <v>29</v>
      </c>
      <c r="B8" s="28" t="s">
        <v>1</v>
      </c>
      <c r="C8" s="59">
        <v>229368.88</v>
      </c>
      <c r="D8" s="62">
        <v>305456.56</v>
      </c>
      <c r="E8" s="59">
        <v>305536.6</v>
      </c>
      <c r="F8" s="59">
        <v>305220.12</v>
      </c>
      <c r="G8" s="74">
        <v>305182.4</v>
      </c>
      <c r="H8" s="59">
        <v>307253.6</v>
      </c>
      <c r="I8" s="59">
        <v>305011.28</v>
      </c>
      <c r="J8" s="59">
        <v>304744.48</v>
      </c>
      <c r="K8" s="7">
        <v>25398.44</v>
      </c>
      <c r="L8" s="7">
        <v>25398.44</v>
      </c>
      <c r="M8" s="7">
        <v>25398.44</v>
      </c>
      <c r="N8" s="7">
        <v>25398.44</v>
      </c>
      <c r="O8" s="7">
        <v>25399.36</v>
      </c>
      <c r="P8" s="7">
        <v>25399.36</v>
      </c>
      <c r="Q8" s="8">
        <v>25392</v>
      </c>
      <c r="R8" s="8">
        <v>25392</v>
      </c>
      <c r="S8" s="8">
        <v>25392</v>
      </c>
      <c r="T8" s="8">
        <v>25392</v>
      </c>
      <c r="U8" s="8">
        <v>25392</v>
      </c>
      <c r="V8" s="8">
        <v>25392</v>
      </c>
      <c r="W8" s="53">
        <f>SUM(K8:V8)</f>
        <v>304744.48</v>
      </c>
      <c r="X8" s="78">
        <f>SUM(C8:V8)</f>
        <v>2672518.3999999994</v>
      </c>
    </row>
    <row r="9" spans="1:24" ht="13.5" thickBot="1">
      <c r="A9" s="36"/>
      <c r="B9" s="28" t="s">
        <v>71</v>
      </c>
      <c r="C9" s="74"/>
      <c r="D9" s="62"/>
      <c r="E9" s="74"/>
      <c r="F9" s="74"/>
      <c r="G9" s="74"/>
      <c r="H9" s="74"/>
      <c r="I9" s="74"/>
      <c r="J9" s="74">
        <v>35046.57</v>
      </c>
      <c r="K9" s="7">
        <f aca="true" t="shared" si="0" ref="K9:P9">2489.29+98.59+143.45+439.19</f>
        <v>3170.52</v>
      </c>
      <c r="L9" s="7">
        <f t="shared" si="0"/>
        <v>3170.52</v>
      </c>
      <c r="M9" s="7">
        <f t="shared" si="0"/>
        <v>3170.52</v>
      </c>
      <c r="N9" s="7">
        <f t="shared" si="0"/>
        <v>3170.52</v>
      </c>
      <c r="O9" s="7">
        <f t="shared" si="0"/>
        <v>3170.52</v>
      </c>
      <c r="P9" s="7">
        <f t="shared" si="0"/>
        <v>3170.52</v>
      </c>
      <c r="Q9" s="8">
        <f>2612.74+99.23+144.69+453.5</f>
        <v>3310.16</v>
      </c>
      <c r="R9" s="8">
        <f>99.23+144.69+453.5</f>
        <v>697.4200000000001</v>
      </c>
      <c r="S9" s="8">
        <f>99.23+144.69+453.5</f>
        <v>697.4200000000001</v>
      </c>
      <c r="T9" s="8">
        <f>99.23+144.69+453.5</f>
        <v>697.4200000000001</v>
      </c>
      <c r="U9" s="8">
        <f>99.23+144.69+453.5</f>
        <v>697.4200000000001</v>
      </c>
      <c r="V9" s="8">
        <f>99.23+144.69+453.5</f>
        <v>697.4200000000001</v>
      </c>
      <c r="W9" s="53">
        <f>SUM(K9:V9)</f>
        <v>25820.37999999999</v>
      </c>
      <c r="X9" s="78">
        <f>SUM(C9:V9)</f>
        <v>60866.94999999997</v>
      </c>
    </row>
    <row r="10" spans="1:24" s="86" customFormat="1" ht="13.5" thickBot="1">
      <c r="A10" s="80" t="s">
        <v>30</v>
      </c>
      <c r="B10" s="81" t="s">
        <v>2</v>
      </c>
      <c r="C10" s="82">
        <f aca="true" t="shared" si="1" ref="C10:K10">SUM(C11:C26)</f>
        <v>197585.39</v>
      </c>
      <c r="D10" s="83">
        <f t="shared" si="1"/>
        <v>331292.04000000004</v>
      </c>
      <c r="E10" s="82">
        <f t="shared" si="1"/>
        <v>261976.37</v>
      </c>
      <c r="F10" s="82">
        <f t="shared" si="1"/>
        <v>290865.91000000003</v>
      </c>
      <c r="G10" s="82">
        <f t="shared" si="1"/>
        <v>279031.49</v>
      </c>
      <c r="H10" s="82">
        <f>SUM(H11:H26)</f>
        <v>316464.22</v>
      </c>
      <c r="I10" s="82">
        <f>SUM(I11:I26)</f>
        <v>301998.13</v>
      </c>
      <c r="J10" s="82">
        <f>SUM(J11:J26)</f>
        <v>329801.14999999997</v>
      </c>
      <c r="K10" s="84">
        <f t="shared" si="1"/>
        <v>28177.87</v>
      </c>
      <c r="L10" s="84">
        <f aca="true" t="shared" si="2" ref="L10:V10">SUM(L11:L26)</f>
        <v>31235.77</v>
      </c>
      <c r="M10" s="84">
        <f t="shared" si="2"/>
        <v>32323.16</v>
      </c>
      <c r="N10" s="84">
        <f t="shared" si="2"/>
        <v>27398.94</v>
      </c>
      <c r="O10" s="84">
        <f t="shared" si="2"/>
        <v>42345.78</v>
      </c>
      <c r="P10" s="84">
        <f t="shared" si="2"/>
        <v>28070.889999999996</v>
      </c>
      <c r="Q10" s="84">
        <f t="shared" si="2"/>
        <v>28469.059999999998</v>
      </c>
      <c r="R10" s="84">
        <f t="shared" si="2"/>
        <v>24558.01</v>
      </c>
      <c r="S10" s="84">
        <f t="shared" si="2"/>
        <v>24522.6</v>
      </c>
      <c r="T10" s="84">
        <f t="shared" si="2"/>
        <v>30207.62</v>
      </c>
      <c r="U10" s="84">
        <f t="shared" si="2"/>
        <v>25411.72</v>
      </c>
      <c r="V10" s="83">
        <f t="shared" si="2"/>
        <v>24244.86</v>
      </c>
      <c r="W10" s="82">
        <f>SUM(K10:V10)</f>
        <v>346966.28</v>
      </c>
      <c r="X10" s="85">
        <f>SUM(C10:V10)</f>
        <v>2655980.98</v>
      </c>
    </row>
    <row r="11" spans="1:24" ht="13.5" thickBot="1">
      <c r="A11" s="36" t="s">
        <v>31</v>
      </c>
      <c r="B11" s="30" t="s">
        <v>4</v>
      </c>
      <c r="C11" s="42">
        <v>37059.8</v>
      </c>
      <c r="D11" s="63">
        <v>57517.28</v>
      </c>
      <c r="E11" s="42">
        <v>58892.94</v>
      </c>
      <c r="F11" s="42">
        <v>65512.19</v>
      </c>
      <c r="G11" s="42">
        <v>74104.71</v>
      </c>
      <c r="H11" s="42">
        <v>74040.86</v>
      </c>
      <c r="I11" s="42">
        <v>71482.74</v>
      </c>
      <c r="J11" s="42">
        <v>69635.54</v>
      </c>
      <c r="K11" s="7">
        <f>5353+209.43</f>
        <v>5562.43</v>
      </c>
      <c r="L11" s="8">
        <f>5353+229.73</f>
        <v>5582.73</v>
      </c>
      <c r="M11" s="8">
        <f>5353+163.14</f>
        <v>5516.14</v>
      </c>
      <c r="N11" s="8">
        <f>5406+463.76</f>
        <v>5869.76</v>
      </c>
      <c r="O11" s="8">
        <f>5406+433.31</f>
        <v>5839.31</v>
      </c>
      <c r="P11" s="8">
        <f>5406+445.05</f>
        <v>5851.05</v>
      </c>
      <c r="Q11" s="8">
        <f>5247+369.5</f>
        <v>5616.5</v>
      </c>
      <c r="R11" s="8">
        <f>5141+458.52</f>
        <v>5599.52</v>
      </c>
      <c r="S11" s="8">
        <f>5141+340.82</f>
        <v>5481.82</v>
      </c>
      <c r="T11" s="8">
        <f>5141+276.54</f>
        <v>5417.54</v>
      </c>
      <c r="U11" s="8">
        <f>5141+321.03</f>
        <v>5462.03</v>
      </c>
      <c r="V11" s="16">
        <f>5141+295.08</f>
        <v>5436.08</v>
      </c>
      <c r="W11" s="54">
        <f aca="true" t="shared" si="3" ref="W11:W28">SUM(K11:V11)</f>
        <v>67234.91</v>
      </c>
      <c r="X11" s="75">
        <f aca="true" t="shared" si="4" ref="X11:X26">SUM(C11:V11)</f>
        <v>575480.9700000001</v>
      </c>
    </row>
    <row r="12" spans="1:24" ht="16.5" customHeight="1" thickBot="1">
      <c r="A12" s="36" t="s">
        <v>32</v>
      </c>
      <c r="B12" s="31" t="s">
        <v>64</v>
      </c>
      <c r="C12" s="43">
        <v>47801.72</v>
      </c>
      <c r="D12" s="64">
        <v>32267.35</v>
      </c>
      <c r="E12" s="43">
        <f>3376.94+3508</f>
        <v>6884.9400000000005</v>
      </c>
      <c r="F12" s="43">
        <f>3957.26+6688.58</f>
        <v>10645.84</v>
      </c>
      <c r="G12" s="43">
        <v>1594.34</v>
      </c>
      <c r="H12" s="43">
        <v>9611.26</v>
      </c>
      <c r="I12" s="43">
        <v>3195.15</v>
      </c>
      <c r="J12" s="43">
        <v>3000</v>
      </c>
      <c r="K12" s="9"/>
      <c r="L12" s="10">
        <v>168</v>
      </c>
      <c r="M12" s="10">
        <v>1030</v>
      </c>
      <c r="N12" s="10"/>
      <c r="O12" s="10">
        <v>300</v>
      </c>
      <c r="P12" s="10"/>
      <c r="Q12" s="10"/>
      <c r="R12" s="10"/>
      <c r="S12" s="10">
        <v>600</v>
      </c>
      <c r="T12" s="10"/>
      <c r="U12" s="10"/>
      <c r="V12" s="17"/>
      <c r="W12" s="54">
        <f t="shared" si="3"/>
        <v>2098</v>
      </c>
      <c r="X12" s="75">
        <f t="shared" si="4"/>
        <v>117098.59999999999</v>
      </c>
    </row>
    <row r="13" spans="1:24" ht="15" customHeight="1" thickBot="1">
      <c r="A13" s="36" t="s">
        <v>33</v>
      </c>
      <c r="B13" s="29" t="s">
        <v>5</v>
      </c>
      <c r="C13" s="43">
        <v>0</v>
      </c>
      <c r="D13" s="64">
        <v>3945.68</v>
      </c>
      <c r="E13" s="43">
        <v>0</v>
      </c>
      <c r="F13" s="43">
        <v>0</v>
      </c>
      <c r="G13" s="43"/>
      <c r="H13" s="43">
        <v>8335</v>
      </c>
      <c r="I13" s="43">
        <v>0</v>
      </c>
      <c r="J13" s="43">
        <v>0</v>
      </c>
      <c r="K13" s="9"/>
      <c r="L13" s="10"/>
      <c r="M13" s="10"/>
      <c r="N13" s="10"/>
      <c r="O13" s="10">
        <v>15172.85</v>
      </c>
      <c r="P13" s="10"/>
      <c r="Q13" s="10"/>
      <c r="R13" s="10"/>
      <c r="S13" s="10"/>
      <c r="T13" s="10"/>
      <c r="U13" s="10"/>
      <c r="V13" s="17"/>
      <c r="W13" s="54">
        <f t="shared" si="3"/>
        <v>15172.85</v>
      </c>
      <c r="X13" s="75">
        <f t="shared" si="4"/>
        <v>27453.53</v>
      </c>
    </row>
    <row r="14" spans="1:24" ht="15.75" customHeight="1" thickBot="1">
      <c r="A14" s="36" t="s">
        <v>68</v>
      </c>
      <c r="B14" s="31" t="s">
        <v>59</v>
      </c>
      <c r="C14" s="43">
        <v>26830.59</v>
      </c>
      <c r="D14" s="64">
        <v>57926.62</v>
      </c>
      <c r="E14" s="43">
        <v>3290.13</v>
      </c>
      <c r="F14" s="43">
        <v>18036.35</v>
      </c>
      <c r="G14" s="43">
        <v>7376.19</v>
      </c>
      <c r="H14" s="43">
        <v>8566.95</v>
      </c>
      <c r="I14" s="43">
        <v>14302.03</v>
      </c>
      <c r="J14" s="43">
        <v>9766.86</v>
      </c>
      <c r="K14" s="9">
        <v>150</v>
      </c>
      <c r="L14" s="10">
        <f>890+2183.67</f>
        <v>3073.67</v>
      </c>
      <c r="M14" s="10">
        <v>731</v>
      </c>
      <c r="N14" s="10">
        <v>45</v>
      </c>
      <c r="O14" s="10">
        <v>146.1</v>
      </c>
      <c r="P14" s="10">
        <v>876.12</v>
      </c>
      <c r="Q14" s="10">
        <v>1435.02</v>
      </c>
      <c r="R14" s="10">
        <v>105</v>
      </c>
      <c r="S14" s="10">
        <v>802.17</v>
      </c>
      <c r="T14" s="10">
        <v>5681.22</v>
      </c>
      <c r="U14" s="10">
        <v>111</v>
      </c>
      <c r="V14" s="17">
        <v>978.7</v>
      </c>
      <c r="W14" s="54">
        <f t="shared" si="3"/>
        <v>14135</v>
      </c>
      <c r="X14" s="75">
        <f t="shared" si="4"/>
        <v>160230.72000000006</v>
      </c>
    </row>
    <row r="15" spans="1:24" ht="12" customHeight="1" thickBot="1">
      <c r="A15" s="36" t="s">
        <v>34</v>
      </c>
      <c r="B15" s="31" t="s">
        <v>69</v>
      </c>
      <c r="C15" s="43"/>
      <c r="D15" s="64"/>
      <c r="E15" s="43"/>
      <c r="F15" s="43"/>
      <c r="G15" s="43"/>
      <c r="H15" s="43"/>
      <c r="I15" s="43">
        <v>4700</v>
      </c>
      <c r="J15" s="43">
        <v>2800</v>
      </c>
      <c r="K15" s="9"/>
      <c r="L15" s="10"/>
      <c r="M15" s="10">
        <v>3400</v>
      </c>
      <c r="N15" s="10"/>
      <c r="O15" s="10"/>
      <c r="P15" s="10"/>
      <c r="Q15" s="10"/>
      <c r="R15" s="10"/>
      <c r="S15" s="10"/>
      <c r="T15" s="10"/>
      <c r="U15" s="10"/>
      <c r="V15" s="17"/>
      <c r="W15" s="54">
        <f>SUM(K15:V15)</f>
        <v>3400</v>
      </c>
      <c r="X15" s="75">
        <f>SUM(C15:V15)</f>
        <v>10900</v>
      </c>
    </row>
    <row r="16" spans="1:24" ht="24.75" customHeight="1" thickBot="1">
      <c r="A16" s="36" t="s">
        <v>35</v>
      </c>
      <c r="B16" s="31" t="s">
        <v>50</v>
      </c>
      <c r="C16" s="43">
        <v>0</v>
      </c>
      <c r="D16" s="64">
        <v>5375.44</v>
      </c>
      <c r="E16" s="43">
        <v>256</v>
      </c>
      <c r="F16" s="43">
        <v>0</v>
      </c>
      <c r="G16" s="43">
        <v>713.93</v>
      </c>
      <c r="H16" s="43">
        <v>52.96</v>
      </c>
      <c r="I16" s="43">
        <v>186</v>
      </c>
      <c r="J16" s="43">
        <v>313.71</v>
      </c>
      <c r="K16" s="9">
        <v>14</v>
      </c>
      <c r="L16" s="10">
        <v>78</v>
      </c>
      <c r="M16" s="10"/>
      <c r="N16" s="10"/>
      <c r="O16" s="10"/>
      <c r="P16" s="10"/>
      <c r="Q16" s="10"/>
      <c r="R16" s="10"/>
      <c r="S16" s="10"/>
      <c r="T16" s="10"/>
      <c r="U16" s="10"/>
      <c r="V16" s="17"/>
      <c r="W16" s="54">
        <f t="shared" si="3"/>
        <v>92</v>
      </c>
      <c r="X16" s="75">
        <f t="shared" si="4"/>
        <v>6990.04</v>
      </c>
    </row>
    <row r="17" spans="1:24" ht="15.75" customHeight="1" thickBot="1">
      <c r="A17" s="36" t="s">
        <v>36</v>
      </c>
      <c r="B17" s="31" t="s">
        <v>72</v>
      </c>
      <c r="C17" s="43">
        <v>4122.8</v>
      </c>
      <c r="D17" s="64">
        <v>7916.84</v>
      </c>
      <c r="E17" s="43">
        <v>5408.88</v>
      </c>
      <c r="F17" s="43">
        <v>0</v>
      </c>
      <c r="G17" s="43"/>
      <c r="H17" s="43">
        <v>0</v>
      </c>
      <c r="I17" s="43">
        <v>0</v>
      </c>
      <c r="J17" s="43">
        <v>26791.95</v>
      </c>
      <c r="K17" s="9">
        <v>2489.29</v>
      </c>
      <c r="L17" s="9">
        <v>2489.29</v>
      </c>
      <c r="M17" s="9">
        <v>2489.29</v>
      </c>
      <c r="N17" s="9">
        <v>2489.29</v>
      </c>
      <c r="O17" s="9">
        <v>2489.29</v>
      </c>
      <c r="P17" s="9">
        <v>2489.29</v>
      </c>
      <c r="Q17" s="10">
        <v>2612.74</v>
      </c>
      <c r="R17" s="10"/>
      <c r="S17" s="10"/>
      <c r="T17" s="10"/>
      <c r="U17" s="10"/>
      <c r="V17" s="17"/>
      <c r="W17" s="54">
        <f t="shared" si="3"/>
        <v>17548.480000000003</v>
      </c>
      <c r="X17" s="75">
        <f t="shared" si="4"/>
        <v>61788.950000000004</v>
      </c>
    </row>
    <row r="18" spans="1:24" ht="15.75" customHeight="1" thickBot="1">
      <c r="A18" s="36"/>
      <c r="B18" s="31" t="s">
        <v>74</v>
      </c>
      <c r="C18" s="43"/>
      <c r="D18" s="64"/>
      <c r="E18" s="43"/>
      <c r="F18" s="43"/>
      <c r="G18" s="43"/>
      <c r="H18" s="43"/>
      <c r="I18" s="43"/>
      <c r="J18" s="43">
        <v>1149.11</v>
      </c>
      <c r="K18" s="9">
        <v>98.62</v>
      </c>
      <c r="L18" s="9">
        <v>98.62</v>
      </c>
      <c r="M18" s="9">
        <v>98.62</v>
      </c>
      <c r="N18" s="9">
        <v>98.62</v>
      </c>
      <c r="O18" s="9">
        <v>98.62</v>
      </c>
      <c r="P18" s="9">
        <v>98.62</v>
      </c>
      <c r="Q18" s="10">
        <v>99.23</v>
      </c>
      <c r="R18" s="10">
        <v>99.23</v>
      </c>
      <c r="S18" s="10">
        <v>99.23</v>
      </c>
      <c r="T18" s="10">
        <v>99.23</v>
      </c>
      <c r="U18" s="10">
        <v>99.23</v>
      </c>
      <c r="V18" s="10">
        <v>99.23</v>
      </c>
      <c r="W18" s="54">
        <f>SUM(K18:V18)</f>
        <v>1187.1000000000001</v>
      </c>
      <c r="X18" s="75">
        <f>SUM(C18:V18)</f>
        <v>2336.2099999999996</v>
      </c>
    </row>
    <row r="19" spans="1:24" ht="15.75" customHeight="1" thickBot="1">
      <c r="A19" s="36"/>
      <c r="B19" s="31" t="s">
        <v>73</v>
      </c>
      <c r="C19" s="43"/>
      <c r="D19" s="64"/>
      <c r="E19" s="43"/>
      <c r="F19" s="43"/>
      <c r="G19" s="43"/>
      <c r="H19" s="43"/>
      <c r="I19" s="43"/>
      <c r="J19" s="43">
        <v>5869.39</v>
      </c>
      <c r="K19" s="9">
        <v>439.16</v>
      </c>
      <c r="L19" s="9">
        <v>438.72</v>
      </c>
      <c r="M19" s="9">
        <v>438.72</v>
      </c>
      <c r="N19" s="9">
        <v>438.72</v>
      </c>
      <c r="O19" s="9">
        <v>438.72</v>
      </c>
      <c r="P19" s="9">
        <v>438.72</v>
      </c>
      <c r="Q19" s="10">
        <v>187.9</v>
      </c>
      <c r="R19" s="10">
        <v>453.46</v>
      </c>
      <c r="S19" s="10">
        <v>453.46</v>
      </c>
      <c r="T19" s="10">
        <v>453.46</v>
      </c>
      <c r="U19" s="10">
        <v>453.46</v>
      </c>
      <c r="V19" s="10">
        <v>453.46</v>
      </c>
      <c r="W19" s="54">
        <f>SUM(K19:V19)</f>
        <v>5087.96</v>
      </c>
      <c r="X19" s="75">
        <f>SUM(C19:V19)</f>
        <v>10957.349999999997</v>
      </c>
    </row>
    <row r="20" spans="1:24" ht="15.75" customHeight="1" thickBot="1">
      <c r="A20" s="36"/>
      <c r="B20" s="31" t="s">
        <v>75</v>
      </c>
      <c r="C20" s="43"/>
      <c r="D20" s="64"/>
      <c r="E20" s="43"/>
      <c r="F20" s="43"/>
      <c r="G20" s="43"/>
      <c r="H20" s="43"/>
      <c r="I20" s="43"/>
      <c r="J20" s="43">
        <v>1000.77</v>
      </c>
      <c r="K20" s="9">
        <v>143.45</v>
      </c>
      <c r="L20" s="9">
        <v>143.45</v>
      </c>
      <c r="M20" s="9">
        <v>143.45</v>
      </c>
      <c r="N20" s="9">
        <v>143.45</v>
      </c>
      <c r="O20" s="9">
        <v>143.45</v>
      </c>
      <c r="P20" s="9">
        <v>143.45</v>
      </c>
      <c r="Q20" s="10">
        <v>144.68</v>
      </c>
      <c r="R20" s="10">
        <v>144.68</v>
      </c>
      <c r="S20" s="10">
        <v>144.68</v>
      </c>
      <c r="T20" s="10">
        <v>144.68</v>
      </c>
      <c r="U20" s="10">
        <v>144.68</v>
      </c>
      <c r="V20" s="10">
        <v>144.68</v>
      </c>
      <c r="W20" s="54">
        <f>SUM(K20:V20)</f>
        <v>1728.7800000000004</v>
      </c>
      <c r="X20" s="75">
        <f>SUM(C20:V20)</f>
        <v>2729.5499999999997</v>
      </c>
    </row>
    <row r="21" spans="1:24" ht="12" customHeight="1" thickBot="1">
      <c r="A21" s="36" t="s">
        <v>37</v>
      </c>
      <c r="B21" s="31" t="s">
        <v>6</v>
      </c>
      <c r="C21" s="43">
        <v>932.9</v>
      </c>
      <c r="D21" s="64">
        <v>735.63</v>
      </c>
      <c r="E21" s="43">
        <v>747.96</v>
      </c>
      <c r="F21" s="43">
        <v>697.07</v>
      </c>
      <c r="G21" s="43">
        <v>748.34</v>
      </c>
      <c r="H21" s="43">
        <v>760.64</v>
      </c>
      <c r="I21" s="43">
        <v>592.69</v>
      </c>
      <c r="J21" s="43">
        <v>981.02</v>
      </c>
      <c r="K21" s="9"/>
      <c r="L21" s="10"/>
      <c r="M21" s="10">
        <v>234.55</v>
      </c>
      <c r="N21" s="10"/>
      <c r="O21" s="10"/>
      <c r="P21" s="10">
        <v>180.42</v>
      </c>
      <c r="Q21" s="10"/>
      <c r="R21" s="10"/>
      <c r="S21" s="10">
        <v>180.42</v>
      </c>
      <c r="T21" s="10"/>
      <c r="U21" s="10"/>
      <c r="V21" s="17">
        <v>192.1</v>
      </c>
      <c r="W21" s="54">
        <f t="shared" si="3"/>
        <v>787.49</v>
      </c>
      <c r="X21" s="75">
        <f t="shared" si="4"/>
        <v>6983.740000000001</v>
      </c>
    </row>
    <row r="22" spans="1:24" ht="27" customHeight="1" thickBot="1">
      <c r="A22" s="36" t="s">
        <v>38</v>
      </c>
      <c r="B22" s="31" t="s">
        <v>76</v>
      </c>
      <c r="C22" s="43">
        <v>3772.3</v>
      </c>
      <c r="D22" s="64">
        <v>13433.38</v>
      </c>
      <c r="E22" s="43">
        <v>16995.58</v>
      </c>
      <c r="F22" s="43">
        <v>16017.62</v>
      </c>
      <c r="G22" s="43">
        <v>11264.24</v>
      </c>
      <c r="H22" s="43">
        <v>13279.72</v>
      </c>
      <c r="I22" s="43">
        <v>14040.76</v>
      </c>
      <c r="J22" s="43">
        <v>14252.82</v>
      </c>
      <c r="K22" s="9">
        <v>1243.3</v>
      </c>
      <c r="L22" s="10">
        <v>1140.58</v>
      </c>
      <c r="M22" s="10">
        <v>1521.11</v>
      </c>
      <c r="N22" s="10">
        <v>1186.15</v>
      </c>
      <c r="O22" s="10">
        <v>997.69</v>
      </c>
      <c r="P22" s="10">
        <v>1446.02</v>
      </c>
      <c r="Q22" s="10">
        <v>1175.89</v>
      </c>
      <c r="R22" s="10">
        <v>1202.53</v>
      </c>
      <c r="S22" s="10">
        <v>988.32</v>
      </c>
      <c r="T22" s="10">
        <v>1483.58</v>
      </c>
      <c r="U22" s="10">
        <v>1311.63</v>
      </c>
      <c r="V22" s="17">
        <v>1280.83</v>
      </c>
      <c r="W22" s="54">
        <f t="shared" si="3"/>
        <v>14977.63</v>
      </c>
      <c r="X22" s="75">
        <f t="shared" si="4"/>
        <v>118034.05</v>
      </c>
    </row>
    <row r="23" spans="1:24" ht="21.75" customHeight="1" thickBot="1">
      <c r="A23" s="36" t="s">
        <v>39</v>
      </c>
      <c r="B23" s="31" t="s">
        <v>65</v>
      </c>
      <c r="C23" s="43">
        <v>6202.8</v>
      </c>
      <c r="D23" s="64">
        <v>7314.79</v>
      </c>
      <c r="E23" s="43">
        <v>2194.33</v>
      </c>
      <c r="F23" s="43">
        <v>1558.24</v>
      </c>
      <c r="G23" s="43">
        <v>3388.5</v>
      </c>
      <c r="H23" s="43">
        <v>2288.7</v>
      </c>
      <c r="I23" s="43">
        <v>1997.44</v>
      </c>
      <c r="J23" s="43">
        <v>1558.99</v>
      </c>
      <c r="K23" s="9">
        <v>122.88</v>
      </c>
      <c r="L23" s="10">
        <v>82.5</v>
      </c>
      <c r="M23" s="10">
        <v>58.58</v>
      </c>
      <c r="N23" s="10">
        <v>82.32</v>
      </c>
      <c r="O23" s="10">
        <v>76.43</v>
      </c>
      <c r="P23" s="10">
        <v>91.15</v>
      </c>
      <c r="Q23" s="10">
        <v>278.66</v>
      </c>
      <c r="R23" s="10">
        <v>71.35</v>
      </c>
      <c r="S23" s="10">
        <v>88.34</v>
      </c>
      <c r="T23" s="10">
        <v>76.5</v>
      </c>
      <c r="U23" s="10">
        <v>365.81</v>
      </c>
      <c r="V23" s="17">
        <v>116.29</v>
      </c>
      <c r="W23" s="54">
        <f t="shared" si="3"/>
        <v>1510.81</v>
      </c>
      <c r="X23" s="75">
        <f t="shared" si="4"/>
        <v>28014.600000000006</v>
      </c>
    </row>
    <row r="24" spans="1:24" ht="32.25" customHeight="1" thickBot="1">
      <c r="A24" s="36" t="s">
        <v>40</v>
      </c>
      <c r="B24" s="31" t="s">
        <v>66</v>
      </c>
      <c r="C24" s="43">
        <v>4437.9</v>
      </c>
      <c r="D24" s="64">
        <v>11832.29</v>
      </c>
      <c r="E24" s="43">
        <v>11405.34</v>
      </c>
      <c r="F24" s="43">
        <v>15285.6</v>
      </c>
      <c r="G24" s="43">
        <v>13139.38</v>
      </c>
      <c r="H24" s="43">
        <v>17072.42</v>
      </c>
      <c r="I24" s="43">
        <v>14610.62</v>
      </c>
      <c r="J24" s="43">
        <v>15274.93</v>
      </c>
      <c r="K24" s="9">
        <f>61.5+439.85+679.51</f>
        <v>1180.8600000000001</v>
      </c>
      <c r="L24" s="10">
        <f>645.14+67.4+595.05</f>
        <v>1307.59</v>
      </c>
      <c r="M24" s="10">
        <f>653.44+66.81+645.78</f>
        <v>1366.03</v>
      </c>
      <c r="N24" s="10">
        <f>688.33+67.71+503.07</f>
        <v>1259.1100000000001</v>
      </c>
      <c r="O24" s="10">
        <f>834.6+60.84+392.61</f>
        <v>1288.0500000000002</v>
      </c>
      <c r="P24" s="10">
        <f>670.27+57.06+374.63</f>
        <v>1101.96</v>
      </c>
      <c r="Q24" s="10">
        <f>64.19+435.21+845.61</f>
        <v>1345.01</v>
      </c>
      <c r="R24" s="10">
        <f>68.16+661.38+655.54</f>
        <v>1385.08</v>
      </c>
      <c r="S24" s="10">
        <f>763.76+53.62+511.51</f>
        <v>1328.8899999999999</v>
      </c>
      <c r="T24" s="10">
        <f>71.58+920.48+744.52</f>
        <v>1736.58</v>
      </c>
      <c r="U24" s="10">
        <f>58.06+513.44+1066.59</f>
        <v>1638.09</v>
      </c>
      <c r="V24" s="17">
        <f>968.49+67.84+868.93</f>
        <v>1905.2599999999998</v>
      </c>
      <c r="W24" s="54">
        <f t="shared" si="3"/>
        <v>16842.51</v>
      </c>
      <c r="X24" s="75">
        <f t="shared" si="4"/>
        <v>119900.98999999998</v>
      </c>
    </row>
    <row r="25" spans="1:24" ht="15.75" customHeight="1" thickBot="1">
      <c r="A25" s="36" t="s">
        <v>57</v>
      </c>
      <c r="B25" s="31" t="s">
        <v>10</v>
      </c>
      <c r="C25" s="43">
        <v>58793.08</v>
      </c>
      <c r="D25" s="64">
        <v>113582.65</v>
      </c>
      <c r="E25" s="43">
        <v>143269.65</v>
      </c>
      <c r="F25" s="43">
        <v>150923.2</v>
      </c>
      <c r="G25" s="43">
        <v>154575.25</v>
      </c>
      <c r="H25" s="43">
        <v>170975.47</v>
      </c>
      <c r="I25" s="43">
        <v>165441.6</v>
      </c>
      <c r="J25" s="43">
        <v>165053.83</v>
      </c>
      <c r="K25" s="9">
        <f>28177.87-12476.93</f>
        <v>15700.939999999999</v>
      </c>
      <c r="L25" s="10">
        <f>31235.77-15624.59</f>
        <v>15611.18</v>
      </c>
      <c r="M25" s="10">
        <f>32323.16-17980.63</f>
        <v>14342.529999999999</v>
      </c>
      <c r="N25" s="10">
        <f>27398.94-12661.73</f>
        <v>14737.21</v>
      </c>
      <c r="O25" s="10">
        <f>42345.78-28010.43</f>
        <v>14335.349999999999</v>
      </c>
      <c r="P25" s="10">
        <f>28070.89-13829.92</f>
        <v>14240.97</v>
      </c>
      <c r="Q25" s="10">
        <f>28469.06-14485.41</f>
        <v>13983.650000000001</v>
      </c>
      <c r="R25" s="10">
        <f>24558.01-10135.61</f>
        <v>14422.399999999998</v>
      </c>
      <c r="S25" s="10">
        <f>24522.6-11089.56</f>
        <v>13433.039999999999</v>
      </c>
      <c r="T25" s="10">
        <f>30207.62-16103.69</f>
        <v>14103.929999999998</v>
      </c>
      <c r="U25" s="10">
        <f>25411.72-10560.83</f>
        <v>14850.890000000001</v>
      </c>
      <c r="V25" s="17">
        <f>24244.9-11554.5-0.04</f>
        <v>12690.36</v>
      </c>
      <c r="W25" s="54">
        <f t="shared" si="3"/>
        <v>172452.45</v>
      </c>
      <c r="X25" s="75">
        <f t="shared" si="4"/>
        <v>1295067.1799999997</v>
      </c>
    </row>
    <row r="26" spans="1:24" ht="13.5" customHeight="1" thickBot="1">
      <c r="A26" s="36" t="s">
        <v>58</v>
      </c>
      <c r="B26" s="32" t="s">
        <v>3</v>
      </c>
      <c r="C26" s="44">
        <v>7631.5</v>
      </c>
      <c r="D26" s="65">
        <v>19444.09</v>
      </c>
      <c r="E26" s="44">
        <v>12630.62</v>
      </c>
      <c r="F26" s="44">
        <v>12189.8</v>
      </c>
      <c r="G26" s="44">
        <v>12126.61</v>
      </c>
      <c r="H26" s="44">
        <v>11480.24</v>
      </c>
      <c r="I26" s="44">
        <v>11449.1</v>
      </c>
      <c r="J26" s="44">
        <v>12352.23</v>
      </c>
      <c r="K26" s="11">
        <f>115.78+917.16</f>
        <v>1032.94</v>
      </c>
      <c r="L26" s="12">
        <f>113.35+908.09</f>
        <v>1021.44</v>
      </c>
      <c r="M26" s="12">
        <f>105.78+847.36</f>
        <v>953.14</v>
      </c>
      <c r="N26" s="12">
        <f>116.45+932.86</f>
        <v>1049.31</v>
      </c>
      <c r="O26" s="12">
        <f>113.19+906.73</f>
        <v>1019.9200000000001</v>
      </c>
      <c r="P26" s="12">
        <f>123.53+989.59</f>
        <v>1113.1200000000001</v>
      </c>
      <c r="Q26" s="12">
        <f>159.09+1430.69</f>
        <v>1589.78</v>
      </c>
      <c r="R26" s="12">
        <f>123.71+951.05</f>
        <v>1074.76</v>
      </c>
      <c r="S26" s="12">
        <f>24.77+897.46</f>
        <v>922.23</v>
      </c>
      <c r="T26" s="12">
        <f>29.6+981.3</f>
        <v>1010.9</v>
      </c>
      <c r="U26" s="12">
        <f>26.43+948.47</f>
        <v>974.9</v>
      </c>
      <c r="V26" s="19">
        <f>25.44+922.43</f>
        <v>947.87</v>
      </c>
      <c r="W26" s="54">
        <f t="shared" si="3"/>
        <v>12710.31</v>
      </c>
      <c r="X26" s="75">
        <f t="shared" si="4"/>
        <v>112014.49999999997</v>
      </c>
    </row>
    <row r="27" spans="1:24" ht="13.5" customHeight="1" thickBot="1">
      <c r="A27" s="36"/>
      <c r="B27" s="39" t="s">
        <v>62</v>
      </c>
      <c r="C27" s="67"/>
      <c r="D27" s="68"/>
      <c r="E27" s="67"/>
      <c r="F27" s="67"/>
      <c r="G27" s="71">
        <f>G8*5%</f>
        <v>15259.120000000003</v>
      </c>
      <c r="H27" s="71">
        <f>H8*5%</f>
        <v>15362.68</v>
      </c>
      <c r="I27" s="71">
        <f>I8*5%</f>
        <v>15250.564000000002</v>
      </c>
      <c r="J27" s="79">
        <f>J8*5%</f>
        <v>15237.224</v>
      </c>
      <c r="K27" s="69">
        <f>K8*5%</f>
        <v>1269.922</v>
      </c>
      <c r="L27" s="69">
        <f aca="true" t="shared" si="5" ref="L27:V27">L8*5%</f>
        <v>1269.922</v>
      </c>
      <c r="M27" s="69">
        <f t="shared" si="5"/>
        <v>1269.922</v>
      </c>
      <c r="N27" s="69">
        <f t="shared" si="5"/>
        <v>1269.922</v>
      </c>
      <c r="O27" s="69">
        <f t="shared" si="5"/>
        <v>1269.968</v>
      </c>
      <c r="P27" s="69">
        <f t="shared" si="5"/>
        <v>1269.968</v>
      </c>
      <c r="Q27" s="69">
        <f t="shared" si="5"/>
        <v>1269.6000000000001</v>
      </c>
      <c r="R27" s="69">
        <f t="shared" si="5"/>
        <v>1269.6000000000001</v>
      </c>
      <c r="S27" s="69">
        <f t="shared" si="5"/>
        <v>1269.6000000000001</v>
      </c>
      <c r="T27" s="69">
        <f t="shared" si="5"/>
        <v>1269.6000000000001</v>
      </c>
      <c r="U27" s="69">
        <f t="shared" si="5"/>
        <v>1269.6000000000001</v>
      </c>
      <c r="V27" s="69">
        <f t="shared" si="5"/>
        <v>1269.6000000000001</v>
      </c>
      <c r="W27" s="71">
        <f t="shared" si="3"/>
        <v>15237.224000000002</v>
      </c>
      <c r="X27" s="76"/>
    </row>
    <row r="28" spans="1:24" ht="14.25" customHeight="1" thickBot="1">
      <c r="A28" s="36" t="s">
        <v>41</v>
      </c>
      <c r="B28" s="57" t="s">
        <v>53</v>
      </c>
      <c r="C28" s="58"/>
      <c r="D28" s="66"/>
      <c r="E28" s="58"/>
      <c r="F28" s="58"/>
      <c r="G28" s="58"/>
      <c r="H28" s="58"/>
      <c r="I28" s="58"/>
      <c r="J28" s="77">
        <f aca="true" t="shared" si="6" ref="J28:V28">SUM(J8+J9-J10)-J27</f>
        <v>-5247.323999999977</v>
      </c>
      <c r="K28" s="70">
        <f t="shared" si="6"/>
        <v>-878.8319999999999</v>
      </c>
      <c r="L28" s="70">
        <f t="shared" si="6"/>
        <v>-3936.7320000000013</v>
      </c>
      <c r="M28" s="70">
        <f t="shared" si="6"/>
        <v>-5024.122000000001</v>
      </c>
      <c r="N28" s="70">
        <f t="shared" si="6"/>
        <v>-99.90199999999959</v>
      </c>
      <c r="O28" s="70">
        <f t="shared" si="6"/>
        <v>-15045.867999999999</v>
      </c>
      <c r="P28" s="70">
        <f t="shared" si="6"/>
        <v>-770.9779999999948</v>
      </c>
      <c r="Q28" s="70">
        <f t="shared" si="6"/>
        <v>-1036.499999999998</v>
      </c>
      <c r="R28" s="70">
        <f t="shared" si="6"/>
        <v>261.8099999999997</v>
      </c>
      <c r="S28" s="70">
        <f t="shared" si="6"/>
        <v>297.2199999999996</v>
      </c>
      <c r="T28" s="70">
        <f t="shared" si="6"/>
        <v>-5387.800000000001</v>
      </c>
      <c r="U28" s="70">
        <f t="shared" si="6"/>
        <v>-591.900000000003</v>
      </c>
      <c r="V28" s="70">
        <f t="shared" si="6"/>
        <v>574.9599999999975</v>
      </c>
      <c r="W28" s="71">
        <f t="shared" si="3"/>
        <v>-31638.643999999993</v>
      </c>
      <c r="X28" s="76"/>
    </row>
    <row r="29" spans="1:24" ht="32.25" customHeight="1" thickBot="1">
      <c r="A29" s="36" t="s">
        <v>42</v>
      </c>
      <c r="B29" s="91" t="s">
        <v>24</v>
      </c>
      <c r="C29" s="91">
        <v>31783.49</v>
      </c>
      <c r="D29" s="83">
        <f>SUM(D8-D10)</f>
        <v>-25835.48000000004</v>
      </c>
      <c r="E29" s="82">
        <f>SUM(E8-E10)</f>
        <v>43560.22999999998</v>
      </c>
      <c r="F29" s="82">
        <f>SUM(F8-F10)</f>
        <v>14354.209999999963</v>
      </c>
      <c r="G29" s="87">
        <f>SUM(G8-G10)-G27</f>
        <v>10891.79000000003</v>
      </c>
      <c r="H29" s="87">
        <f>SUM(H8-H10)-H27</f>
        <v>-24573.299999999996</v>
      </c>
      <c r="I29" s="87">
        <f>SUM(I8-I10)-I27</f>
        <v>-12237.413999999979</v>
      </c>
      <c r="J29" s="87">
        <f>SUM(J8+J9-J10)-J27</f>
        <v>-5247.323999999977</v>
      </c>
      <c r="K29" s="92">
        <f>SUM(K8+K9-K10)-K27</f>
        <v>-878.8319999999999</v>
      </c>
      <c r="L29" s="93">
        <f>SUM(L28+K29)</f>
        <v>-4815.564000000001</v>
      </c>
      <c r="M29" s="93">
        <f aca="true" t="shared" si="7" ref="M29:V29">SUM(M28+L29)</f>
        <v>-9839.686000000002</v>
      </c>
      <c r="N29" s="93">
        <f t="shared" si="7"/>
        <v>-9939.588000000002</v>
      </c>
      <c r="O29" s="93">
        <f t="shared" si="7"/>
        <v>-24985.456</v>
      </c>
      <c r="P29" s="93">
        <f t="shared" si="7"/>
        <v>-25756.433999999994</v>
      </c>
      <c r="Q29" s="93">
        <f t="shared" si="7"/>
        <v>-26792.93399999999</v>
      </c>
      <c r="R29" s="93">
        <f t="shared" si="7"/>
        <v>-26531.12399999999</v>
      </c>
      <c r="S29" s="93">
        <f t="shared" si="7"/>
        <v>-26233.903999999988</v>
      </c>
      <c r="T29" s="93">
        <f t="shared" si="7"/>
        <v>-31621.70399999999</v>
      </c>
      <c r="U29" s="93">
        <f t="shared" si="7"/>
        <v>-32213.603999999992</v>
      </c>
      <c r="V29" s="93">
        <f t="shared" si="7"/>
        <v>-31638.643999999993</v>
      </c>
      <c r="W29" s="82"/>
      <c r="X29" s="94"/>
    </row>
    <row r="30" spans="1:24" ht="24.75" customHeight="1" hidden="1" thickBot="1">
      <c r="A30" s="36" t="s">
        <v>43</v>
      </c>
      <c r="B30" s="45" t="s">
        <v>25</v>
      </c>
      <c r="C30" s="39">
        <v>31783.49</v>
      </c>
      <c r="D30" s="18">
        <f>SUM(D8-D10,C30)</f>
        <v>5948.009999999962</v>
      </c>
      <c r="E30" s="54">
        <f>SUM(E8-E10,D30)</f>
        <v>49508.23999999995</v>
      </c>
      <c r="F30" s="54">
        <f>SUM(F8-F10,E30)</f>
        <v>63862.44999999991</v>
      </c>
      <c r="G30" s="73">
        <f>SUM(G29+F30)</f>
        <v>74754.23999999993</v>
      </c>
      <c r="H30" s="73">
        <f>SUM(H29+G30)</f>
        <v>50180.93999999994</v>
      </c>
      <c r="I30" s="73">
        <f>SUM(I29+H30)</f>
        <v>37943.525999999954</v>
      </c>
      <c r="J30" s="73">
        <f>SUM(J29+I30)</f>
        <v>32696.201999999976</v>
      </c>
      <c r="K30" s="73">
        <f>SUM(K29+J30)</f>
        <v>31817.369999999977</v>
      </c>
      <c r="L30" s="72">
        <f>SUM(L28+K30)</f>
        <v>27880.637999999977</v>
      </c>
      <c r="M30" s="72">
        <f aca="true" t="shared" si="8" ref="M30:U30">SUM(M28+L30)</f>
        <v>22856.515999999974</v>
      </c>
      <c r="N30" s="72">
        <f t="shared" si="8"/>
        <v>22756.613999999976</v>
      </c>
      <c r="O30" s="72">
        <f t="shared" si="8"/>
        <v>7710.745999999977</v>
      </c>
      <c r="P30" s="72">
        <f t="shared" si="8"/>
        <v>6939.767999999983</v>
      </c>
      <c r="Q30" s="72">
        <f t="shared" si="8"/>
        <v>5903.267999999985</v>
      </c>
      <c r="R30" s="72">
        <f t="shared" si="8"/>
        <v>6165.077999999984</v>
      </c>
      <c r="S30" s="72">
        <f t="shared" si="8"/>
        <v>6462.297999999983</v>
      </c>
      <c r="T30" s="72">
        <f t="shared" si="8"/>
        <v>1074.4979999999823</v>
      </c>
      <c r="U30" s="72">
        <f t="shared" si="8"/>
        <v>482.59799999997927</v>
      </c>
      <c r="V30" s="72">
        <f>SUM(V28+U30)</f>
        <v>1057.5579999999768</v>
      </c>
      <c r="W30" s="54"/>
      <c r="X30" s="48"/>
    </row>
    <row r="31" spans="1:24" ht="9" customHeight="1" hidden="1" thickBot="1">
      <c r="A31" s="36" t="s">
        <v>44</v>
      </c>
      <c r="B31" s="45" t="s">
        <v>8</v>
      </c>
      <c r="C31" s="40"/>
      <c r="D31" s="40"/>
      <c r="E31" s="60"/>
      <c r="F31" s="60"/>
      <c r="G31" s="60"/>
      <c r="H31" s="60"/>
      <c r="I31" s="60"/>
      <c r="J31" s="60"/>
      <c r="K31" s="13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20"/>
      <c r="W31" s="54"/>
      <c r="X31" s="49"/>
    </row>
    <row r="32" spans="1:24" ht="15" customHeight="1" hidden="1" thickBot="1">
      <c r="A32" s="37" t="s">
        <v>45</v>
      </c>
      <c r="B32" s="33" t="s">
        <v>26</v>
      </c>
      <c r="C32" s="40"/>
      <c r="D32" s="40"/>
      <c r="E32" s="60"/>
      <c r="F32" s="60"/>
      <c r="G32" s="60"/>
      <c r="H32" s="60"/>
      <c r="I32" s="60"/>
      <c r="J32" s="60"/>
      <c r="K32" s="1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20"/>
      <c r="W32" s="55"/>
      <c r="X32" s="50"/>
    </row>
    <row r="33" spans="1:24" ht="24" customHeight="1" hidden="1" thickBot="1">
      <c r="A33" s="37" t="s">
        <v>47</v>
      </c>
      <c r="B33" s="34" t="s">
        <v>48</v>
      </c>
      <c r="C33" s="41"/>
      <c r="D33" s="41"/>
      <c r="E33" s="61"/>
      <c r="F33" s="61"/>
      <c r="G33" s="61"/>
      <c r="H33" s="61"/>
      <c r="I33" s="61"/>
      <c r="J33" s="61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5">
        <f>SUM(V29-V31)</f>
        <v>-31638.643999999993</v>
      </c>
      <c r="W33" s="56"/>
      <c r="X33" s="51"/>
    </row>
    <row r="34" spans="1:24" ht="24" customHeight="1" hidden="1" thickBot="1">
      <c r="A34" s="46" t="s">
        <v>51</v>
      </c>
      <c r="B34" s="34" t="s">
        <v>27</v>
      </c>
      <c r="C34" s="41"/>
      <c r="D34" s="41"/>
      <c r="E34" s="61"/>
      <c r="F34" s="61"/>
      <c r="G34" s="61"/>
      <c r="H34" s="61"/>
      <c r="I34" s="61"/>
      <c r="J34" s="61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>
        <f>SUM(V30-V31)</f>
        <v>1057.5579999999768</v>
      </c>
      <c r="W34" s="56"/>
      <c r="X34" s="51"/>
    </row>
    <row r="35" spans="3:24" ht="0.75" customHeight="1" hidden="1">
      <c r="C35" s="21"/>
      <c r="D35" s="21"/>
      <c r="E35" s="21"/>
      <c r="F35" s="21"/>
      <c r="G35" s="21"/>
      <c r="H35" s="21"/>
      <c r="I35" s="21"/>
      <c r="J35" s="21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</row>
    <row r="36" ht="16.5" customHeight="1">
      <c r="B36" t="s">
        <v>54</v>
      </c>
    </row>
    <row r="37" ht="0.75" customHeight="1"/>
    <row r="38" ht="12.75" hidden="1"/>
    <row r="39" ht="12.75" hidden="1"/>
    <row r="44" ht="12.75" customHeight="1"/>
    <row r="45" ht="12.75" customHeight="1"/>
  </sheetData>
  <sheetProtection/>
  <mergeCells count="5">
    <mergeCell ref="B4:X4"/>
    <mergeCell ref="B5:X5"/>
    <mergeCell ref="B3:X3"/>
    <mergeCell ref="B1:M1"/>
    <mergeCell ref="B2:T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2019-02-11T10:39:16Z</cp:lastPrinted>
  <dcterms:created xsi:type="dcterms:W3CDTF">2011-06-16T11:06:26Z</dcterms:created>
  <dcterms:modified xsi:type="dcterms:W3CDTF">2019-02-14T05:29:32Z</dcterms:modified>
  <cp:category/>
  <cp:version/>
  <cp:contentType/>
  <cp:contentStatus/>
</cp:coreProperties>
</file>