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<sst xmlns="http://schemas.openxmlformats.org/spreadsheetml/2006/main" count="79" uniqueCount="79">
  <si>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</si>
  <si>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</si>
  <si>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</si>
  <si>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</si>
  <si>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</si>
  <si>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</si>
  <si>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</si>
  <si>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</si>
  <si>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</si>
  <si>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</si>
  <si>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</si>
  <si>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</si>
  <si>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</si>
  <si>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</si>
  <si>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</si>
  <si>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</si>
  <si>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</si>
  <si>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</si>
  <si>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</si>
  <si>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</si>
  <si>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</si>
  <si>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</si>
  <si>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</si>
  <si>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</si>
  <si>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</si>
  <si>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</si>
  <si>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</si>
  <si>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</si>
  <si>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</si>
  <si>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</si>
  <si>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</si>
  <si>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</si>
  <si>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</si>
  <si>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</si>
  <si>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</si>
  <si>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</si>
  <si>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</si>
  <si>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</si>
  <si>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</si>
  <si>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</si>
  <si>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</si>
  <si>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</si>
  <si>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</si>
  <si>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</si>
  <si>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</si>
  <si>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</si>
  <si>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</si>
  <si>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</si>
  <si>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Попова  д.2</t>
  </si>
  <si>
    <t>Итого за 2011 г</t>
  </si>
  <si>
    <t>Проверка  дымовых каналов</t>
  </si>
  <si>
    <t>11</t>
  </si>
  <si>
    <t>Результат за месяц</t>
  </si>
  <si>
    <t>Дом по ул.Попова д.2 вступил в ООО "Наш дом" с февраля 2010 года                 тариф 9,2 руб</t>
  </si>
  <si>
    <t>Итого за 2012 г</t>
  </si>
  <si>
    <t>Благоустройство территории</t>
  </si>
  <si>
    <t xml:space="preserve">Материалы </t>
  </si>
  <si>
    <t>4.12</t>
  </si>
  <si>
    <t>4.13</t>
  </si>
  <si>
    <t>4.16</t>
  </si>
  <si>
    <t>4.17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</si>
  <si>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</si>
  <si>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</si>
  <si>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</si>
  <si>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</si>
  <si>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</si>
  <si>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</si>
  <si>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>Исполнитель  вед. экономист /Викторова Л.С./</t>
  </si>
  <si>
    <t xml:space="preserve">Услугиагентские,охрана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</si>
  <si>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</si>
  <si>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</si>
  <si>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</si>
  <si>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Начислено  нежилые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</si>
  <si>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</si>
  <si>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</si>
  <si>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</si>
  <si>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Транспортные(ГСМ,зап.части,амортизация,страхован)</t>
  </si>
  <si>
    <t>Итого за 2018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</si>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</sst>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3" fillId="0" borderId="34" xfId="0" applyFont="1" applyBorder="1" applyAlignment="1">
      <alignment horizontal="left" vertical="center"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2" borderId="35" xfId="0" applyFont="1" applyFill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49" fontId="0" fillId="0" borderId="34" xfId="0" applyNumberFormat="1" applyBorder="1" applyAlignment="1">
      <alignment horizontal="center"/>
    </xf>
    <xf numFmtId="0" fontId="21" fillId="0" borderId="37" xfId="0" applyFont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0" fontId="26" fillId="0" borderId="3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19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45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7" fillId="0" borderId="31" xfId="0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8" fillId="0" borderId="34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6" xfId="0" applyNumberFormat="1" applyFont="1" applyBorder="1" applyAlignment="1">
      <alignment/>
    </xf>
    <xf numFmtId="0" fontId="22" fillId="0" borderId="0" xfId="0" applyFont="1" applyAlignment="1">
      <alignment/>
    </xf>
    <xf numFmtId="2" fontId="28" fillId="0" borderId="34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49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1" fillId="0" borderId="25" xfId="0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0" fontId="25" fillId="0" borderId="30" xfId="0" applyFont="1" applyBorder="1" applyAlignment="1">
      <alignment/>
    </xf>
    <xf numFmtId="49" fontId="22" fillId="0" borderId="34" xfId="0" applyNumberFormat="1" applyFont="1" applyBorder="1" applyAlignment="1">
      <alignment horizontal="center"/>
    </xf>
    <xf numFmtId="0" fontId="28" fillId="0" borderId="26" xfId="0" applyFont="1" applyBorder="1" applyAlignment="1">
      <alignment wrapText="1"/>
    </xf>
    <xf numFmtId="0" fontId="28" fillId="0" borderId="34" xfId="0" applyFont="1" applyBorder="1" applyAlignment="1">
      <alignment wrapText="1"/>
    </xf>
    <xf numFmtId="2" fontId="28" fillId="0" borderId="48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30" fillId="0" borderId="2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5">
      <selection activeCell="A29" sqref="A29:X29"/>
    </sheetView>
  </sheetViews>
  <sheetFormatPr defaultColWidth="9.00390625" defaultRowHeight="12.75"/>
  <cols>
    <col min="1" max="1" width="3.375" style="25" customWidth="1"/>
    <col min="2" max="2" width="21.75390625" style="0" customWidth="1"/>
    <col min="3" max="3" width="7.375" style="0" hidden="1" customWidth="1"/>
    <col min="4" max="4" width="8.25390625" style="0" hidden="1" customWidth="1"/>
    <col min="5" max="5" width="0.12890625" style="0" hidden="1" customWidth="1"/>
    <col min="6" max="6" width="9.625" style="0" hidden="1" customWidth="1"/>
    <col min="7" max="7" width="0.12890625" style="0" hidden="1" customWidth="1"/>
    <col min="8" max="8" width="8.75390625" style="0" hidden="1" customWidth="1"/>
    <col min="9" max="9" width="9.25390625" style="0" hidden="1" customWidth="1"/>
    <col min="10" max="10" width="9.75390625" style="0" hidden="1" customWidth="1"/>
    <col min="11" max="11" width="8.625" style="0" customWidth="1"/>
    <col min="12" max="12" width="8.375" style="0" customWidth="1"/>
    <col min="13" max="13" width="8.625" style="0" customWidth="1"/>
    <col min="14" max="14" width="8.375" style="0" customWidth="1"/>
    <col min="15" max="15" width="8.875" style="0" customWidth="1"/>
    <col min="16" max="17" width="9.00390625" style="0" customWidth="1"/>
    <col min="18" max="19" width="8.125" style="0" customWidth="1"/>
    <col min="20" max="20" width="8.375" style="0" customWidth="1"/>
    <col min="21" max="22" width="8.125" style="0" customWidth="1"/>
    <col min="23" max="23" width="8.375" style="0" customWidth="1"/>
    <col min="24" max="24" width="10.125" style="0" customWidth="1"/>
  </cols>
  <sheetData>
    <row r="1" spans="2:29" ht="12.75" customHeight="1">
      <c r="B1" s="88" t="s">
        <v>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88" t="s">
        <v>53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3"/>
      <c r="Z3" s="3"/>
      <c r="AA3" s="3"/>
      <c r="AB3" s="3"/>
      <c r="AC3" s="3"/>
    </row>
    <row r="4" spans="2:29" ht="12.75" customHeight="1">
      <c r="B4" s="86" t="s">
        <v>11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2"/>
      <c r="Z4" s="2"/>
      <c r="AA4" s="2"/>
      <c r="AB4" s="2"/>
      <c r="AC4" s="2"/>
    </row>
    <row r="5" spans="2:29" ht="13.5" customHeight="1">
      <c r="B5" s="86" t="s">
        <v>48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2"/>
      <c r="Z5" s="2"/>
      <c r="AA5" s="2"/>
      <c r="AB5" s="2"/>
      <c r="AC5" s="2"/>
    </row>
    <row r="6" spans="2:29" ht="0.7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27.75" customHeight="1" thickBot="1">
      <c r="A7" s="34" t="s">
        <v>28</v>
      </c>
      <c r="B7" s="26" t="s">
        <v>7</v>
      </c>
      <c r="C7" s="37" t="s">
        <v>45</v>
      </c>
      <c r="D7" s="59" t="s">
        <v>49</v>
      </c>
      <c r="E7" s="47" t="s">
        <v>54</v>
      </c>
      <c r="F7" s="47" t="s">
        <v>61</v>
      </c>
      <c r="G7" s="59" t="s">
        <v>62</v>
      </c>
      <c r="H7" s="47" t="s">
        <v>64</v>
      </c>
      <c r="I7" s="47" t="s">
        <v>69</v>
      </c>
      <c r="J7" s="47" t="s">
        <v>70</v>
      </c>
      <c r="K7" s="6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5" t="s">
        <v>20</v>
      </c>
      <c r="T7" s="5" t="s">
        <v>21</v>
      </c>
      <c r="U7" s="5" t="s">
        <v>23</v>
      </c>
      <c r="V7" s="15" t="s">
        <v>22</v>
      </c>
      <c r="W7" s="47" t="s">
        <v>77</v>
      </c>
      <c r="X7" s="72" t="s">
        <v>78</v>
      </c>
      <c r="Y7" s="1"/>
      <c r="Z7" s="1"/>
      <c r="AA7" s="1"/>
      <c r="AB7" s="1"/>
      <c r="AC7" s="1"/>
    </row>
    <row r="8" spans="1:24" ht="13.5" thickBot="1">
      <c r="A8" s="35" t="s">
        <v>29</v>
      </c>
      <c r="B8" s="27" t="s">
        <v>1</v>
      </c>
      <c r="C8" s="55">
        <v>255615.56</v>
      </c>
      <c r="D8" s="60">
        <v>302587.54</v>
      </c>
      <c r="E8" s="56">
        <v>350674.88</v>
      </c>
      <c r="F8" s="55">
        <v>350247.68</v>
      </c>
      <c r="G8" s="60">
        <v>349999.28</v>
      </c>
      <c r="H8" s="55">
        <v>349995.6</v>
      </c>
      <c r="I8" s="56">
        <v>344041.12</v>
      </c>
      <c r="J8" s="55">
        <v>277236.48</v>
      </c>
      <c r="K8" s="7">
        <v>23103.04</v>
      </c>
      <c r="L8" s="7">
        <v>23103.04</v>
      </c>
      <c r="M8" s="7">
        <v>23103.04</v>
      </c>
      <c r="N8" s="7">
        <v>23103.04</v>
      </c>
      <c r="O8" s="7">
        <v>23103.04</v>
      </c>
      <c r="P8" s="7">
        <v>23103.04</v>
      </c>
      <c r="Q8" s="8">
        <v>23103.04</v>
      </c>
      <c r="R8" s="8">
        <v>23103.04</v>
      </c>
      <c r="S8" s="8">
        <v>23103.04</v>
      </c>
      <c r="T8" s="8">
        <v>23103.04</v>
      </c>
      <c r="U8" s="8">
        <v>23103.04</v>
      </c>
      <c r="V8" s="8">
        <v>23103.04</v>
      </c>
      <c r="W8" s="48">
        <f>SUM(K8:V8)</f>
        <v>277236.48000000004</v>
      </c>
      <c r="X8" s="73">
        <f>SUM(C8:V8)</f>
        <v>2857634.6200000006</v>
      </c>
    </row>
    <row r="9" spans="1:24" ht="13.5" thickBot="1">
      <c r="A9" s="35"/>
      <c r="B9" s="27" t="s">
        <v>71</v>
      </c>
      <c r="C9" s="56"/>
      <c r="D9" s="60"/>
      <c r="E9" s="56"/>
      <c r="F9" s="56"/>
      <c r="G9" s="60"/>
      <c r="H9" s="56"/>
      <c r="I9" s="56"/>
      <c r="J9" s="56">
        <v>20618.6</v>
      </c>
      <c r="K9" s="7">
        <f aca="true" t="shared" si="0" ref="K9:P9">1958.45+103.42+91.35</f>
        <v>2153.22</v>
      </c>
      <c r="L9" s="7">
        <f t="shared" si="0"/>
        <v>2153.22</v>
      </c>
      <c r="M9" s="7">
        <f t="shared" si="0"/>
        <v>2153.22</v>
      </c>
      <c r="N9" s="7">
        <f t="shared" si="0"/>
        <v>2153.22</v>
      </c>
      <c r="O9" s="7">
        <f t="shared" si="0"/>
        <v>2153.22</v>
      </c>
      <c r="P9" s="7">
        <f t="shared" si="0"/>
        <v>2153.22</v>
      </c>
      <c r="Q9" s="8">
        <f>2055.48+104.06+92.13</f>
        <v>2251.67</v>
      </c>
      <c r="R9" s="8">
        <f>104.06+92.13</f>
        <v>196.19</v>
      </c>
      <c r="S9" s="8">
        <f>104.06+92.13</f>
        <v>196.19</v>
      </c>
      <c r="T9" s="8">
        <f>104.06+92.13</f>
        <v>196.19</v>
      </c>
      <c r="U9" s="8">
        <f>104.06+92.13</f>
        <v>196.19</v>
      </c>
      <c r="V9" s="8">
        <f>104.06+92.13</f>
        <v>196.19</v>
      </c>
      <c r="W9" s="48">
        <f>SUM(K9:V9)</f>
        <v>16151.94</v>
      </c>
      <c r="X9" s="73">
        <f>SUM(C9:V9)</f>
        <v>36770.540000000015</v>
      </c>
    </row>
    <row r="10" spans="1:24" ht="12.75" customHeight="1" thickBot="1">
      <c r="A10" s="35"/>
      <c r="B10" s="27" t="s">
        <v>72</v>
      </c>
      <c r="C10" s="56"/>
      <c r="D10" s="60"/>
      <c r="E10" s="56"/>
      <c r="F10" s="56"/>
      <c r="G10" s="60"/>
      <c r="H10" s="56"/>
      <c r="I10" s="56"/>
      <c r="J10" s="56">
        <v>62814.86</v>
      </c>
      <c r="K10" s="7">
        <v>6888.26</v>
      </c>
      <c r="L10" s="7">
        <v>6888.26</v>
      </c>
      <c r="M10" s="7">
        <v>6888.26</v>
      </c>
      <c r="N10" s="7">
        <v>6888.26</v>
      </c>
      <c r="O10" s="7">
        <v>6888.26</v>
      </c>
      <c r="P10" s="7">
        <v>6888.26</v>
      </c>
      <c r="Q10" s="8">
        <v>6918.83</v>
      </c>
      <c r="R10" s="8">
        <v>5026.38</v>
      </c>
      <c r="S10" s="8">
        <v>5026.38</v>
      </c>
      <c r="T10" s="8">
        <v>5026.38</v>
      </c>
      <c r="U10" s="8">
        <v>5026.38</v>
      </c>
      <c r="V10" s="8">
        <v>5026.38</v>
      </c>
      <c r="W10" s="48">
        <f>SUM(K10:V10)</f>
        <v>73380.29000000001</v>
      </c>
      <c r="X10" s="73">
        <f>SUM(C10:V10)</f>
        <v>136195.15</v>
      </c>
    </row>
    <row r="11" spans="1:24" s="84" customFormat="1" ht="13.5" thickBot="1">
      <c r="A11" s="77" t="s">
        <v>30</v>
      </c>
      <c r="B11" s="78" t="s">
        <v>2</v>
      </c>
      <c r="C11" s="79">
        <f aca="true" t="shared" si="1" ref="C11:K11">SUM(C12:C26)</f>
        <v>203293.63</v>
      </c>
      <c r="D11" s="80">
        <f t="shared" si="1"/>
        <v>246865.31</v>
      </c>
      <c r="E11" s="79">
        <f t="shared" si="1"/>
        <v>267944.17000000004</v>
      </c>
      <c r="F11" s="79">
        <f t="shared" si="1"/>
        <v>283875.07</v>
      </c>
      <c r="G11" s="81">
        <f t="shared" si="1"/>
        <v>260156.83999999997</v>
      </c>
      <c r="H11" s="79">
        <f>SUM(H12:H26)</f>
        <v>272159.58999999997</v>
      </c>
      <c r="I11" s="79">
        <f>SUM(I12:I26)</f>
        <v>327725.23</v>
      </c>
      <c r="J11" s="79">
        <f>SUM(J12:J26)</f>
        <v>281885.05</v>
      </c>
      <c r="K11" s="82">
        <f t="shared" si="1"/>
        <v>29401.8</v>
      </c>
      <c r="L11" s="82">
        <f aca="true" t="shared" si="2" ref="L11:V11">SUM(L12:L26)</f>
        <v>31853.75</v>
      </c>
      <c r="M11" s="82">
        <f t="shared" si="2"/>
        <v>28101.549999999996</v>
      </c>
      <c r="N11" s="82">
        <f t="shared" si="2"/>
        <v>23878.92</v>
      </c>
      <c r="O11" s="82">
        <f t="shared" si="2"/>
        <v>29714.23</v>
      </c>
      <c r="P11" s="82">
        <f t="shared" si="2"/>
        <v>27320.57</v>
      </c>
      <c r="Q11" s="82">
        <f t="shared" si="2"/>
        <v>41334.06</v>
      </c>
      <c r="R11" s="82">
        <f t="shared" si="2"/>
        <v>28239.18</v>
      </c>
      <c r="S11" s="82">
        <f t="shared" si="2"/>
        <v>29956.719999999998</v>
      </c>
      <c r="T11" s="82">
        <f t="shared" si="2"/>
        <v>27050.4</v>
      </c>
      <c r="U11" s="82">
        <f t="shared" si="2"/>
        <v>22815.95</v>
      </c>
      <c r="V11" s="80">
        <f t="shared" si="2"/>
        <v>24205.140000000003</v>
      </c>
      <c r="W11" s="79">
        <f>SUM(K11:V11)</f>
        <v>343872.27</v>
      </c>
      <c r="X11" s="83">
        <f>SUM(C11:V11)</f>
        <v>2487777.1599999997</v>
      </c>
    </row>
    <row r="12" spans="1:24" ht="13.5" thickBot="1">
      <c r="A12" s="35" t="s">
        <v>31</v>
      </c>
      <c r="B12" s="29" t="s">
        <v>4</v>
      </c>
      <c r="C12" s="41">
        <v>40442.49</v>
      </c>
      <c r="D12" s="61">
        <v>47850.03</v>
      </c>
      <c r="E12" s="41">
        <v>48375.29</v>
      </c>
      <c r="F12" s="41">
        <v>54315.55</v>
      </c>
      <c r="G12" s="61">
        <v>58000.52</v>
      </c>
      <c r="H12" s="41">
        <v>54657.46</v>
      </c>
      <c r="I12" s="41">
        <v>53048.52</v>
      </c>
      <c r="J12" s="41">
        <v>52541.27</v>
      </c>
      <c r="K12" s="7">
        <f>4134+161.83</f>
        <v>4295.83</v>
      </c>
      <c r="L12" s="8">
        <f>4134+177.52</f>
        <v>4311.52</v>
      </c>
      <c r="M12" s="8">
        <f>4240+129.03</f>
        <v>4369.03</v>
      </c>
      <c r="N12" s="8">
        <f>4240+363.49</f>
        <v>4603.49</v>
      </c>
      <c r="O12" s="8">
        <f>3975+339.62</f>
        <v>4314.62</v>
      </c>
      <c r="P12" s="8">
        <f>4240+348.83</f>
        <v>4588.83</v>
      </c>
      <c r="Q12" s="8">
        <f>4293+301.08</f>
        <v>4594.08</v>
      </c>
      <c r="R12" s="8">
        <f>4293+380.66</f>
        <v>4673.66</v>
      </c>
      <c r="S12" s="8">
        <f>4240+279.73</f>
        <v>4519.73</v>
      </c>
      <c r="T12" s="8">
        <f>4187+224.37</f>
        <v>4411.37</v>
      </c>
      <c r="U12" s="8">
        <f>4187+260.46</f>
        <v>4447.46</v>
      </c>
      <c r="V12" s="16">
        <f>4240+242.19</f>
        <v>4482.19</v>
      </c>
      <c r="W12" s="49">
        <f aca="true" t="shared" si="3" ref="W12:W28">SUM(K12:V12)</f>
        <v>53611.81</v>
      </c>
      <c r="X12" s="74">
        <f aca="true" t="shared" si="4" ref="X12:X26">SUM(C12:V12)</f>
        <v>462842.94000000006</v>
      </c>
    </row>
    <row r="13" spans="1:24" ht="12.75" customHeight="1" thickBot="1">
      <c r="A13" s="35" t="s">
        <v>32</v>
      </c>
      <c r="B13" s="30" t="s">
        <v>65</v>
      </c>
      <c r="C13" s="42">
        <v>62916.68</v>
      </c>
      <c r="D13" s="62">
        <v>26121.75</v>
      </c>
      <c r="E13" s="42">
        <f>17854.56+9500</f>
        <v>27354.56</v>
      </c>
      <c r="F13" s="42">
        <v>9703.1</v>
      </c>
      <c r="G13" s="62">
        <v>20693.69</v>
      </c>
      <c r="H13" s="42">
        <v>3389.45</v>
      </c>
      <c r="I13" s="42">
        <v>11620.49</v>
      </c>
      <c r="J13" s="42">
        <v>0</v>
      </c>
      <c r="K13" s="9">
        <v>2900</v>
      </c>
      <c r="L13" s="10">
        <v>4000</v>
      </c>
      <c r="M13" s="10">
        <f>4540+210</f>
        <v>4750</v>
      </c>
      <c r="N13" s="10"/>
      <c r="O13" s="10">
        <v>920</v>
      </c>
      <c r="P13" s="10"/>
      <c r="Q13" s="10"/>
      <c r="R13" s="10">
        <f>6665.2+200.6</f>
        <v>6865.8</v>
      </c>
      <c r="S13" s="10">
        <v>4897</v>
      </c>
      <c r="T13" s="10"/>
      <c r="U13" s="10"/>
      <c r="V13" s="17"/>
      <c r="W13" s="49">
        <f>SUM(K13:V13)</f>
        <v>24332.8</v>
      </c>
      <c r="X13" s="74">
        <f t="shared" si="4"/>
        <v>186132.52</v>
      </c>
    </row>
    <row r="14" spans="1:24" ht="15" customHeight="1" thickBot="1">
      <c r="A14" s="35" t="s">
        <v>33</v>
      </c>
      <c r="B14" s="28" t="s">
        <v>5</v>
      </c>
      <c r="C14" s="42">
        <v>6209.29</v>
      </c>
      <c r="D14" s="62">
        <v>0</v>
      </c>
      <c r="E14" s="42">
        <v>0</v>
      </c>
      <c r="F14" s="42">
        <v>13691.54</v>
      </c>
      <c r="G14" s="62"/>
      <c r="H14" s="42">
        <v>0</v>
      </c>
      <c r="I14" s="42">
        <v>14714.6</v>
      </c>
      <c r="J14" s="42">
        <v>0</v>
      </c>
      <c r="K14" s="9"/>
      <c r="L14" s="10"/>
      <c r="M14" s="10"/>
      <c r="N14" s="10"/>
      <c r="O14" s="10"/>
      <c r="P14" s="10"/>
      <c r="Q14" s="10">
        <v>15854.12</v>
      </c>
      <c r="R14" s="10"/>
      <c r="S14" s="10"/>
      <c r="T14" s="10"/>
      <c r="U14" s="10"/>
      <c r="V14" s="17"/>
      <c r="W14" s="49">
        <f t="shared" si="3"/>
        <v>15854.12</v>
      </c>
      <c r="X14" s="74">
        <f t="shared" si="4"/>
        <v>50469.55</v>
      </c>
    </row>
    <row r="15" spans="1:24" ht="24" customHeight="1" thickBot="1">
      <c r="A15" s="35" t="s">
        <v>34</v>
      </c>
      <c r="B15" s="28" t="s">
        <v>50</v>
      </c>
      <c r="C15" s="42">
        <v>0</v>
      </c>
      <c r="D15" s="62">
        <v>3161.86</v>
      </c>
      <c r="E15" s="42">
        <v>0</v>
      </c>
      <c r="F15" s="42">
        <v>0</v>
      </c>
      <c r="G15" s="62"/>
      <c r="H15" s="42">
        <v>2200</v>
      </c>
      <c r="I15" s="42">
        <v>2800</v>
      </c>
      <c r="J15" s="42">
        <v>4800</v>
      </c>
      <c r="K15" s="9"/>
      <c r="L15" s="10">
        <v>2000</v>
      </c>
      <c r="M15" s="10"/>
      <c r="N15" s="10"/>
      <c r="O15" s="10"/>
      <c r="P15" s="10"/>
      <c r="Q15" s="10"/>
      <c r="R15" s="10"/>
      <c r="S15" s="10"/>
      <c r="T15" s="10"/>
      <c r="U15" s="10"/>
      <c r="V15" s="17"/>
      <c r="W15" s="49">
        <f t="shared" si="3"/>
        <v>2000</v>
      </c>
      <c r="X15" s="74">
        <f t="shared" si="4"/>
        <v>14961.86</v>
      </c>
    </row>
    <row r="16" spans="1:24" ht="15.75" customHeight="1" thickBot="1">
      <c r="A16" s="35" t="s">
        <v>35</v>
      </c>
      <c r="B16" s="30" t="s">
        <v>56</v>
      </c>
      <c r="C16" s="42">
        <v>13100.95</v>
      </c>
      <c r="D16" s="62">
        <v>13304.24</v>
      </c>
      <c r="E16" s="42">
        <v>18414.17</v>
      </c>
      <c r="F16" s="42">
        <v>28404.99</v>
      </c>
      <c r="G16" s="62">
        <v>4117.62</v>
      </c>
      <c r="H16" s="42">
        <v>11399.13</v>
      </c>
      <c r="I16" s="42">
        <v>43621.98</v>
      </c>
      <c r="J16" s="42">
        <v>10816.61</v>
      </c>
      <c r="K16" s="9">
        <v>2051</v>
      </c>
      <c r="L16" s="10"/>
      <c r="M16" s="10"/>
      <c r="N16" s="10">
        <v>451</v>
      </c>
      <c r="O16" s="10">
        <v>4251.44</v>
      </c>
      <c r="P16" s="10">
        <f>1738.25+768</f>
        <v>2506.25</v>
      </c>
      <c r="Q16" s="10">
        <f>854.72+630</f>
        <v>1484.72</v>
      </c>
      <c r="R16" s="10"/>
      <c r="S16" s="10">
        <v>2908.42</v>
      </c>
      <c r="T16" s="10">
        <v>4005.39</v>
      </c>
      <c r="U16" s="10">
        <v>801.7</v>
      </c>
      <c r="V16" s="17">
        <v>1182.85</v>
      </c>
      <c r="W16" s="49">
        <f t="shared" si="3"/>
        <v>19642.769999999997</v>
      </c>
      <c r="X16" s="74">
        <f t="shared" si="4"/>
        <v>162822.46000000005</v>
      </c>
    </row>
    <row r="17" spans="1:24" ht="24" customHeight="1" thickBot="1">
      <c r="A17" s="35" t="s">
        <v>36</v>
      </c>
      <c r="B17" s="30" t="s">
        <v>55</v>
      </c>
      <c r="C17" s="42">
        <v>0</v>
      </c>
      <c r="D17" s="62">
        <v>0</v>
      </c>
      <c r="E17" s="42">
        <v>256</v>
      </c>
      <c r="F17" s="42">
        <v>0</v>
      </c>
      <c r="G17" s="62">
        <v>44.59</v>
      </c>
      <c r="H17" s="42">
        <v>52.96</v>
      </c>
      <c r="I17" s="42">
        <v>951</v>
      </c>
      <c r="J17" s="42">
        <v>554.81</v>
      </c>
      <c r="K17" s="9"/>
      <c r="L17" s="10">
        <v>78</v>
      </c>
      <c r="M17" s="10"/>
      <c r="N17" s="10"/>
      <c r="O17" s="10"/>
      <c r="P17" s="10"/>
      <c r="Q17" s="10"/>
      <c r="R17" s="10"/>
      <c r="S17" s="10"/>
      <c r="T17" s="10"/>
      <c r="U17" s="10"/>
      <c r="V17" s="17"/>
      <c r="W17" s="49">
        <f>SUM(K17:V17)</f>
        <v>78</v>
      </c>
      <c r="X17" s="74">
        <f>SUM(C17:V17)</f>
        <v>1937.36</v>
      </c>
    </row>
    <row r="18" spans="1:24" ht="13.5" customHeight="1" thickBot="1">
      <c r="A18" s="35" t="s">
        <v>37</v>
      </c>
      <c r="B18" s="30" t="s">
        <v>73</v>
      </c>
      <c r="C18" s="42">
        <v>4624.42</v>
      </c>
      <c r="D18" s="62">
        <v>5853.86</v>
      </c>
      <c r="E18" s="42">
        <v>3315.07</v>
      </c>
      <c r="F18" s="42">
        <v>0</v>
      </c>
      <c r="G18" s="62"/>
      <c r="H18" s="42">
        <v>0</v>
      </c>
      <c r="I18" s="42">
        <v>0</v>
      </c>
      <c r="J18" s="42">
        <v>18997.34</v>
      </c>
      <c r="K18" s="9">
        <v>1958.45</v>
      </c>
      <c r="L18" s="9">
        <v>1958.45</v>
      </c>
      <c r="M18" s="9">
        <v>1958.45</v>
      </c>
      <c r="N18" s="9">
        <v>1958.45</v>
      </c>
      <c r="O18" s="9">
        <v>1958.45</v>
      </c>
      <c r="P18" s="9">
        <v>1958.45</v>
      </c>
      <c r="Q18" s="10">
        <v>2055.48</v>
      </c>
      <c r="R18" s="10"/>
      <c r="S18" s="10"/>
      <c r="T18" s="10"/>
      <c r="U18" s="10"/>
      <c r="V18" s="10"/>
      <c r="W18" s="49">
        <f t="shared" si="3"/>
        <v>13806.18</v>
      </c>
      <c r="X18" s="74">
        <f t="shared" si="4"/>
        <v>46596.86999999999</v>
      </c>
    </row>
    <row r="19" spans="1:24" ht="13.5" customHeight="1" thickBot="1">
      <c r="A19" s="35"/>
      <c r="B19" s="30" t="s">
        <v>74</v>
      </c>
      <c r="C19" s="42"/>
      <c r="D19" s="62"/>
      <c r="E19" s="42"/>
      <c r="F19" s="42"/>
      <c r="G19" s="62"/>
      <c r="H19" s="42"/>
      <c r="I19" s="42"/>
      <c r="J19" s="42">
        <v>1288.7</v>
      </c>
      <c r="K19" s="9">
        <v>134.99</v>
      </c>
      <c r="L19" s="9">
        <v>134.99</v>
      </c>
      <c r="M19" s="9">
        <v>134.99</v>
      </c>
      <c r="N19" s="9">
        <v>134.99</v>
      </c>
      <c r="O19" s="9">
        <v>134.99</v>
      </c>
      <c r="P19" s="9">
        <v>134.99</v>
      </c>
      <c r="Q19" s="10">
        <v>135.82</v>
      </c>
      <c r="R19" s="10">
        <v>135.82</v>
      </c>
      <c r="S19" s="10">
        <v>135.82</v>
      </c>
      <c r="T19" s="10">
        <v>135.82</v>
      </c>
      <c r="U19" s="10">
        <v>135.82</v>
      </c>
      <c r="V19" s="10">
        <v>135.82</v>
      </c>
      <c r="W19" s="49">
        <f>SUM(K19:V19)</f>
        <v>1624.8599999999997</v>
      </c>
      <c r="X19" s="74">
        <f>SUM(C19:V19)</f>
        <v>2913.5600000000013</v>
      </c>
    </row>
    <row r="20" spans="1:24" ht="13.5" customHeight="1" thickBot="1">
      <c r="A20" s="35"/>
      <c r="B20" s="30" t="s">
        <v>75</v>
      </c>
      <c r="C20" s="42"/>
      <c r="D20" s="62"/>
      <c r="E20" s="42"/>
      <c r="F20" s="42"/>
      <c r="G20" s="62"/>
      <c r="H20" s="42"/>
      <c r="I20" s="42"/>
      <c r="J20" s="42">
        <v>831.66</v>
      </c>
      <c r="K20" s="9">
        <v>119.21</v>
      </c>
      <c r="L20" s="9">
        <v>119.21</v>
      </c>
      <c r="M20" s="9">
        <v>119.21</v>
      </c>
      <c r="N20" s="9">
        <v>119.21</v>
      </c>
      <c r="O20" s="9">
        <v>119.21</v>
      </c>
      <c r="P20" s="9">
        <v>119.21</v>
      </c>
      <c r="Q20" s="10">
        <v>120.23</v>
      </c>
      <c r="R20" s="10">
        <v>120.23</v>
      </c>
      <c r="S20" s="10">
        <v>120.23</v>
      </c>
      <c r="T20" s="10">
        <v>120.23</v>
      </c>
      <c r="U20" s="10">
        <v>120.23</v>
      </c>
      <c r="V20" s="10">
        <v>120.23</v>
      </c>
      <c r="W20" s="49">
        <f>SUM(K20:V20)</f>
        <v>1436.64</v>
      </c>
      <c r="X20" s="74">
        <f>SUM(C20:V20)</f>
        <v>2268.3</v>
      </c>
    </row>
    <row r="21" spans="1:24" ht="12.75" customHeight="1" thickBot="1">
      <c r="A21" s="35" t="s">
        <v>38</v>
      </c>
      <c r="B21" s="30" t="s">
        <v>6</v>
      </c>
      <c r="C21" s="42">
        <v>725.67</v>
      </c>
      <c r="D21" s="62">
        <v>314.42</v>
      </c>
      <c r="E21" s="42">
        <v>334.86</v>
      </c>
      <c r="F21" s="42">
        <v>146.4</v>
      </c>
      <c r="G21" s="62">
        <v>664.43</v>
      </c>
      <c r="H21" s="42">
        <v>842.88</v>
      </c>
      <c r="I21" s="42">
        <v>600.27</v>
      </c>
      <c r="J21" s="42">
        <v>855.79</v>
      </c>
      <c r="K21" s="9"/>
      <c r="L21" s="10"/>
      <c r="M21" s="10">
        <v>165.17</v>
      </c>
      <c r="N21" s="10"/>
      <c r="O21" s="10"/>
      <c r="P21" s="10">
        <v>154.16</v>
      </c>
      <c r="Q21" s="10"/>
      <c r="R21" s="10"/>
      <c r="S21" s="10">
        <v>158.56</v>
      </c>
      <c r="T21" s="10"/>
      <c r="U21" s="10"/>
      <c r="V21" s="17">
        <v>132.14</v>
      </c>
      <c r="W21" s="49">
        <f t="shared" si="3"/>
        <v>610.03</v>
      </c>
      <c r="X21" s="74">
        <f t="shared" si="4"/>
        <v>5094.75</v>
      </c>
    </row>
    <row r="22" spans="1:24" ht="22.5" customHeight="1" thickBot="1">
      <c r="A22" s="35" t="s">
        <v>39</v>
      </c>
      <c r="B22" s="30" t="s">
        <v>76</v>
      </c>
      <c r="C22" s="42">
        <v>3438.82</v>
      </c>
      <c r="D22" s="62">
        <v>12247.11</v>
      </c>
      <c r="E22" s="42">
        <v>15736.52</v>
      </c>
      <c r="F22" s="42">
        <v>13203.88</v>
      </c>
      <c r="G22" s="62">
        <v>10241.93</v>
      </c>
      <c r="H22" s="42">
        <v>12079.23</v>
      </c>
      <c r="I22" s="42">
        <v>12776.15</v>
      </c>
      <c r="J22" s="42">
        <v>12966.12</v>
      </c>
      <c r="K22" s="9">
        <v>1130.93</v>
      </c>
      <c r="L22" s="10">
        <v>1037.5</v>
      </c>
      <c r="M22" s="10">
        <v>1383.64</v>
      </c>
      <c r="N22" s="10">
        <v>1078.95</v>
      </c>
      <c r="O22" s="10">
        <v>907.49</v>
      </c>
      <c r="P22" s="10">
        <v>1315.29</v>
      </c>
      <c r="Q22" s="10">
        <v>1069.89</v>
      </c>
      <c r="R22" s="10">
        <v>1094.13</v>
      </c>
      <c r="S22" s="10">
        <v>899.23</v>
      </c>
      <c r="T22" s="10">
        <v>1349.84</v>
      </c>
      <c r="U22" s="10">
        <v>1193.39</v>
      </c>
      <c r="V22" s="17">
        <v>1165.37</v>
      </c>
      <c r="W22" s="49">
        <f t="shared" si="3"/>
        <v>13625.649999999998</v>
      </c>
      <c r="X22" s="74">
        <f t="shared" si="4"/>
        <v>106315.40999999997</v>
      </c>
    </row>
    <row r="23" spans="1:24" ht="24" customHeight="1" thickBot="1">
      <c r="A23" s="35" t="s">
        <v>57</v>
      </c>
      <c r="B23" s="30" t="s">
        <v>66</v>
      </c>
      <c r="C23" s="42">
        <v>6080.01</v>
      </c>
      <c r="D23" s="62">
        <v>6668.66</v>
      </c>
      <c r="E23" s="42">
        <v>1997.82</v>
      </c>
      <c r="F23" s="42">
        <v>1362.39</v>
      </c>
      <c r="G23" s="62">
        <v>3080.76</v>
      </c>
      <c r="H23" s="42">
        <v>2081.79</v>
      </c>
      <c r="I23" s="42">
        <v>1817.52</v>
      </c>
      <c r="J23" s="42">
        <v>1418.29</v>
      </c>
      <c r="K23" s="9">
        <v>111.78</v>
      </c>
      <c r="L23" s="10">
        <v>75.05</v>
      </c>
      <c r="M23" s="10">
        <v>53.29</v>
      </c>
      <c r="N23" s="10">
        <v>74.88</v>
      </c>
      <c r="O23" s="10">
        <v>69.52</v>
      </c>
      <c r="P23" s="10">
        <v>82.91</v>
      </c>
      <c r="Q23" s="10">
        <v>253.54</v>
      </c>
      <c r="R23" s="10">
        <v>64.92</v>
      </c>
      <c r="S23" s="10">
        <v>80.38</v>
      </c>
      <c r="T23" s="10">
        <v>69.6</v>
      </c>
      <c r="U23" s="10">
        <v>332.83</v>
      </c>
      <c r="V23" s="17">
        <v>105.8</v>
      </c>
      <c r="W23" s="49">
        <f t="shared" si="3"/>
        <v>1374.4999999999998</v>
      </c>
      <c r="X23" s="74">
        <f t="shared" si="4"/>
        <v>25881.74</v>
      </c>
    </row>
    <row r="24" spans="1:24" ht="34.5" customHeight="1" thickBot="1">
      <c r="A24" s="35" t="s">
        <v>58</v>
      </c>
      <c r="B24" s="30" t="s">
        <v>68</v>
      </c>
      <c r="C24" s="42">
        <v>2403.7</v>
      </c>
      <c r="D24" s="62">
        <v>10716.64</v>
      </c>
      <c r="E24" s="42">
        <v>10383.54</v>
      </c>
      <c r="F24" s="42">
        <v>13045.19</v>
      </c>
      <c r="G24" s="62">
        <v>11947.5</v>
      </c>
      <c r="H24" s="42">
        <v>15407.67</v>
      </c>
      <c r="I24" s="42">
        <v>13291.81</v>
      </c>
      <c r="J24" s="42">
        <v>13988.29</v>
      </c>
      <c r="K24" s="9">
        <f>55.94+400.1+518.1</f>
        <v>974.1400000000001</v>
      </c>
      <c r="L24" s="10">
        <f>586.83+61.31+541.27</f>
        <v>1189.41</v>
      </c>
      <c r="M24" s="10">
        <f>594.38+60.78+587.41</f>
        <v>1242.57</v>
      </c>
      <c r="N24" s="10">
        <f>626.12+61.59+457.61</f>
        <v>1145.3200000000002</v>
      </c>
      <c r="O24" s="10">
        <f>759.14+55.34+357.11</f>
        <v>1171.5900000000001</v>
      </c>
      <c r="P24" s="10">
        <f>609.67+51.9+340.76</f>
        <v>1002.3299999999999</v>
      </c>
      <c r="Q24" s="10">
        <f>58.41+395.98+769.38</f>
        <v>1223.77</v>
      </c>
      <c r="R24" s="10">
        <f>62.02+601.76+596.44</f>
        <v>1260.22</v>
      </c>
      <c r="S24" s="10">
        <f>694.91+48.79+465.4</f>
        <v>1209.1</v>
      </c>
      <c r="T24" s="10">
        <f>65.13+837.5+677.4</f>
        <v>1580.03</v>
      </c>
      <c r="U24" s="10">
        <f>53.37+467.15+970.44</f>
        <v>1490.96</v>
      </c>
      <c r="V24" s="17">
        <f>881.19+61.72+790.6</f>
        <v>1733.5100000000002</v>
      </c>
      <c r="W24" s="49">
        <f t="shared" si="3"/>
        <v>15222.950000000003</v>
      </c>
      <c r="X24" s="74">
        <f t="shared" si="4"/>
        <v>106407.29000000002</v>
      </c>
    </row>
    <row r="25" spans="1:24" ht="15.75" customHeight="1" thickBot="1">
      <c r="A25" s="35" t="s">
        <v>59</v>
      </c>
      <c r="B25" s="30" t="s">
        <v>10</v>
      </c>
      <c r="C25" s="42">
        <v>54861.96</v>
      </c>
      <c r="D25" s="62">
        <v>103549.03</v>
      </c>
      <c r="E25" s="42">
        <v>130654.76</v>
      </c>
      <c r="F25" s="42">
        <v>139810.49</v>
      </c>
      <c r="G25" s="62">
        <v>140548.86</v>
      </c>
      <c r="H25" s="42">
        <v>160213.36</v>
      </c>
      <c r="I25" s="42">
        <v>159830.87</v>
      </c>
      <c r="J25" s="42">
        <v>152257.48</v>
      </c>
      <c r="K25" s="9">
        <f>29401.8-14656.84</f>
        <v>14744.96</v>
      </c>
      <c r="L25" s="10">
        <f>31853.75-18150.28</f>
        <v>13703.470000000001</v>
      </c>
      <c r="M25" s="10">
        <f>28101.55-15055.63</f>
        <v>13045.92</v>
      </c>
      <c r="N25" s="10">
        <f>23878.92-10474</f>
        <v>13404.919999999998</v>
      </c>
      <c r="O25" s="10">
        <f>29714.23-14912.32</f>
        <v>14801.91</v>
      </c>
      <c r="P25" s="10">
        <f>27320.57-12692.51</f>
        <v>14628.06</v>
      </c>
      <c r="Q25" s="10">
        <f>41334.06-27701.12</f>
        <v>13632.939999999999</v>
      </c>
      <c r="R25" s="10">
        <f>28239.18-15116.88</f>
        <v>13122.300000000001</v>
      </c>
      <c r="S25" s="10">
        <f>29956.72-15762.61</f>
        <v>14194.11</v>
      </c>
      <c r="T25" s="10">
        <f>27050.4-12473</f>
        <v>14577.400000000001</v>
      </c>
      <c r="U25" s="10">
        <f>22815.95-9304.33</f>
        <v>13511.62</v>
      </c>
      <c r="V25" s="17">
        <f>24205.2-9929.21-0.06</f>
        <v>14275.930000000002</v>
      </c>
      <c r="W25" s="49">
        <f t="shared" si="3"/>
        <v>167643.53999999998</v>
      </c>
      <c r="X25" s="74">
        <f t="shared" si="4"/>
        <v>1209370.3499999999</v>
      </c>
    </row>
    <row r="26" spans="1:24" ht="13.5" customHeight="1" thickBot="1">
      <c r="A26" s="35" t="s">
        <v>60</v>
      </c>
      <c r="B26" s="31" t="s">
        <v>3</v>
      </c>
      <c r="C26" s="43">
        <v>8489.64</v>
      </c>
      <c r="D26" s="63">
        <v>17077.71</v>
      </c>
      <c r="E26" s="43">
        <v>11121.58</v>
      </c>
      <c r="F26" s="43">
        <v>10191.54</v>
      </c>
      <c r="G26" s="63">
        <v>10816.94</v>
      </c>
      <c r="H26" s="43">
        <v>9835.66</v>
      </c>
      <c r="I26" s="43">
        <v>12652.02</v>
      </c>
      <c r="J26" s="43">
        <v>10568.69</v>
      </c>
      <c r="K26" s="11">
        <f>81.27+899.24</f>
        <v>980.51</v>
      </c>
      <c r="L26" s="12">
        <f>1285.55+89.47+1871.13</f>
        <v>3246.15</v>
      </c>
      <c r="M26" s="12">
        <f>74.96+804.32</f>
        <v>879.2800000000001</v>
      </c>
      <c r="N26" s="12">
        <f>75.07+832.64</f>
        <v>907.71</v>
      </c>
      <c r="O26" s="12">
        <f>90.78+974.23</f>
        <v>1065.01</v>
      </c>
      <c r="P26" s="12">
        <f>70.77+759.32</f>
        <v>830.09</v>
      </c>
      <c r="Q26" s="12">
        <f>77.54+831.93</f>
        <v>909.4699999999999</v>
      </c>
      <c r="R26" s="12">
        <f>77.31+824.79</f>
        <v>902.0999999999999</v>
      </c>
      <c r="S26" s="12">
        <f>11.34+822.8</f>
        <v>834.14</v>
      </c>
      <c r="T26" s="12">
        <f>6.74+793.98</f>
        <v>800.72</v>
      </c>
      <c r="U26" s="12">
        <f>6.58+775.36</f>
        <v>781.94</v>
      </c>
      <c r="V26" s="18">
        <f>7.34+863.96</f>
        <v>871.3000000000001</v>
      </c>
      <c r="W26" s="49">
        <f t="shared" si="3"/>
        <v>13008.419999999998</v>
      </c>
      <c r="X26" s="74">
        <f t="shared" si="4"/>
        <v>103762.20000000001</v>
      </c>
    </row>
    <row r="27" spans="1:24" ht="13.5" customHeight="1" thickBot="1">
      <c r="A27" s="35"/>
      <c r="B27" s="38" t="s">
        <v>63</v>
      </c>
      <c r="C27" s="65"/>
      <c r="D27" s="66"/>
      <c r="E27" s="65"/>
      <c r="F27" s="65"/>
      <c r="G27" s="70">
        <f>G8*5%</f>
        <v>17499.964000000004</v>
      </c>
      <c r="H27" s="68">
        <f>H8*5%</f>
        <v>17499.78</v>
      </c>
      <c r="I27" s="68">
        <f>I8*5%</f>
        <v>17202.056</v>
      </c>
      <c r="J27" s="76">
        <f>J8*5%</f>
        <v>13861.824</v>
      </c>
      <c r="K27" s="67">
        <f>SUM(K8+K9+K10)*5%</f>
        <v>1607.2260000000003</v>
      </c>
      <c r="L27" s="67">
        <f aca="true" t="shared" si="5" ref="L27:V27">SUM(L8+L9+L10)*5%</f>
        <v>1607.2260000000003</v>
      </c>
      <c r="M27" s="67">
        <f t="shared" si="5"/>
        <v>1607.2260000000003</v>
      </c>
      <c r="N27" s="67">
        <f t="shared" si="5"/>
        <v>1607.2260000000003</v>
      </c>
      <c r="O27" s="67">
        <f t="shared" si="5"/>
        <v>1607.2260000000003</v>
      </c>
      <c r="P27" s="67">
        <f t="shared" si="5"/>
        <v>1607.2260000000003</v>
      </c>
      <c r="Q27" s="67">
        <f t="shared" si="5"/>
        <v>1613.6770000000001</v>
      </c>
      <c r="R27" s="67">
        <f t="shared" si="5"/>
        <v>1416.2805</v>
      </c>
      <c r="S27" s="67">
        <f t="shared" si="5"/>
        <v>1416.2805</v>
      </c>
      <c r="T27" s="67">
        <f t="shared" si="5"/>
        <v>1416.2805</v>
      </c>
      <c r="U27" s="67">
        <f t="shared" si="5"/>
        <v>1416.2805</v>
      </c>
      <c r="V27" s="67">
        <f t="shared" si="5"/>
        <v>1416.2805</v>
      </c>
      <c r="W27" s="68">
        <f t="shared" si="3"/>
        <v>18338.435500000003</v>
      </c>
      <c r="X27" s="75"/>
    </row>
    <row r="28" spans="1:24" ht="13.5" customHeight="1" thickBot="1">
      <c r="A28" s="89" t="s">
        <v>40</v>
      </c>
      <c r="B28" s="53" t="s">
        <v>52</v>
      </c>
      <c r="C28" s="54"/>
      <c r="D28" s="64"/>
      <c r="E28" s="54"/>
      <c r="F28" s="54"/>
      <c r="G28" s="64"/>
      <c r="H28" s="54"/>
      <c r="I28" s="54"/>
      <c r="J28" s="71">
        <f aca="true" t="shared" si="6" ref="J28:V28">SUM(J8+J9+J10-J11)-J27</f>
        <v>64923.065999999955</v>
      </c>
      <c r="K28" s="69">
        <f t="shared" si="6"/>
        <v>1135.4940000000045</v>
      </c>
      <c r="L28" s="69">
        <f t="shared" si="6"/>
        <v>-1316.4559999999963</v>
      </c>
      <c r="M28" s="69">
        <f t="shared" si="6"/>
        <v>2435.744000000008</v>
      </c>
      <c r="N28" s="69">
        <f t="shared" si="6"/>
        <v>6658.374000000005</v>
      </c>
      <c r="O28" s="69">
        <f t="shared" si="6"/>
        <v>823.0640000000042</v>
      </c>
      <c r="P28" s="69">
        <f t="shared" si="6"/>
        <v>3216.724000000004</v>
      </c>
      <c r="Q28" s="69">
        <f t="shared" si="6"/>
        <v>-10674.196999999996</v>
      </c>
      <c r="R28" s="69">
        <f t="shared" si="6"/>
        <v>-1329.8504999999998</v>
      </c>
      <c r="S28" s="69">
        <f t="shared" si="6"/>
        <v>-3047.390499999997</v>
      </c>
      <c r="T28" s="69">
        <f t="shared" si="6"/>
        <v>-141.07050000000095</v>
      </c>
      <c r="U28" s="69">
        <f t="shared" si="6"/>
        <v>4093.3795</v>
      </c>
      <c r="V28" s="69">
        <f t="shared" si="6"/>
        <v>2704.1894999999977</v>
      </c>
      <c r="W28" s="71">
        <f t="shared" si="3"/>
        <v>4558.004500000033</v>
      </c>
      <c r="X28" s="75"/>
    </row>
    <row r="29" spans="1:24" ht="31.5" customHeight="1" thickBot="1">
      <c r="A29" s="96" t="s">
        <v>41</v>
      </c>
      <c r="B29" s="97" t="s">
        <v>24</v>
      </c>
      <c r="C29" s="98">
        <v>52321.93</v>
      </c>
      <c r="D29" s="80">
        <f>SUM(D8-D11)</f>
        <v>55722.22999999998</v>
      </c>
      <c r="E29" s="79">
        <f>SUM(E8-E11)</f>
        <v>82730.70999999996</v>
      </c>
      <c r="F29" s="79">
        <f>SUM(F8-F11)</f>
        <v>66372.60999999999</v>
      </c>
      <c r="G29" s="99">
        <f>SUM(G8-G11)-G27</f>
        <v>72342.47600000005</v>
      </c>
      <c r="H29" s="85">
        <f>SUM(H8-H11)-H27</f>
        <v>60336.23000000001</v>
      </c>
      <c r="I29" s="85">
        <f>SUM(I8-I11)-I27</f>
        <v>-886.1659999999865</v>
      </c>
      <c r="J29" s="85">
        <f>SUM(J8+J9+J10-J11)-J27</f>
        <v>64923.065999999955</v>
      </c>
      <c r="K29" s="100">
        <f>SUM(K8+K9+K10-K11)-K27</f>
        <v>1135.4940000000045</v>
      </c>
      <c r="L29" s="101">
        <f>SUM(L28+K29)</f>
        <v>-180.9619999999918</v>
      </c>
      <c r="M29" s="101">
        <f aca="true" t="shared" si="7" ref="M29:V29">SUM(M28+L29)</f>
        <v>2254.782000000016</v>
      </c>
      <c r="N29" s="101">
        <f t="shared" si="7"/>
        <v>8913.15600000002</v>
      </c>
      <c r="O29" s="101">
        <f t="shared" si="7"/>
        <v>9736.220000000025</v>
      </c>
      <c r="P29" s="101">
        <f t="shared" si="7"/>
        <v>12952.944000000029</v>
      </c>
      <c r="Q29" s="101">
        <f t="shared" si="7"/>
        <v>2278.747000000032</v>
      </c>
      <c r="R29" s="101">
        <f t="shared" si="7"/>
        <v>948.8965000000323</v>
      </c>
      <c r="S29" s="101">
        <f t="shared" si="7"/>
        <v>-2098.493999999964</v>
      </c>
      <c r="T29" s="101">
        <f t="shared" si="7"/>
        <v>-2239.564499999965</v>
      </c>
      <c r="U29" s="101">
        <f t="shared" si="7"/>
        <v>1853.815000000035</v>
      </c>
      <c r="V29" s="101">
        <f t="shared" si="7"/>
        <v>4558.004500000033</v>
      </c>
      <c r="W29" s="79"/>
      <c r="X29" s="102"/>
    </row>
    <row r="30" spans="1:24" ht="21.75" customHeight="1" hidden="1" thickBot="1">
      <c r="A30" s="90" t="s">
        <v>42</v>
      </c>
      <c r="B30" s="39" t="s">
        <v>25</v>
      </c>
      <c r="C30" s="39">
        <v>52321.93</v>
      </c>
      <c r="D30" s="91">
        <f>SUM(D8-D11,C30)</f>
        <v>108044.15999999997</v>
      </c>
      <c r="E30" s="50">
        <f>SUM(E8-E11,D30)</f>
        <v>190774.86999999994</v>
      </c>
      <c r="F30" s="50">
        <f>SUM(F8-F11,E30)</f>
        <v>257147.47999999992</v>
      </c>
      <c r="G30" s="92">
        <f>SUM(G29+F30)</f>
        <v>329489.956</v>
      </c>
      <c r="H30" s="93">
        <f>SUM(H29+G30)</f>
        <v>389826.186</v>
      </c>
      <c r="I30" s="93">
        <f>SUM(I29+H30)</f>
        <v>388940.02</v>
      </c>
      <c r="J30" s="93">
        <f>SUM(J29+I30)</f>
        <v>453863.08599999995</v>
      </c>
      <c r="K30" s="93">
        <f>SUM(K29+J30)</f>
        <v>454998.57999999996</v>
      </c>
      <c r="L30" s="94">
        <f>SUM(L28+K30)</f>
        <v>453682.12399999995</v>
      </c>
      <c r="M30" s="94">
        <f>SUM(M28+L30)</f>
        <v>456117.86799999996</v>
      </c>
      <c r="N30" s="94">
        <f aca="true" t="shared" si="8" ref="N30:U30">SUM(N28+M30)</f>
        <v>462776.24199999997</v>
      </c>
      <c r="O30" s="94">
        <f t="shared" si="8"/>
        <v>463599.306</v>
      </c>
      <c r="P30" s="94">
        <f t="shared" si="8"/>
        <v>466816.02999999997</v>
      </c>
      <c r="Q30" s="94">
        <f t="shared" si="8"/>
        <v>456141.833</v>
      </c>
      <c r="R30" s="94">
        <f t="shared" si="8"/>
        <v>454811.9825</v>
      </c>
      <c r="S30" s="94">
        <f t="shared" si="8"/>
        <v>451764.592</v>
      </c>
      <c r="T30" s="94">
        <f t="shared" si="8"/>
        <v>451623.52150000003</v>
      </c>
      <c r="U30" s="94">
        <f t="shared" si="8"/>
        <v>455716.901</v>
      </c>
      <c r="V30" s="94">
        <f>SUM(V28+U30)</f>
        <v>458421.0905</v>
      </c>
      <c r="W30" s="50"/>
      <c r="X30" s="95"/>
    </row>
    <row r="31" spans="1:24" ht="5.25" customHeight="1" hidden="1" thickBot="1">
      <c r="A31" s="35" t="s">
        <v>43</v>
      </c>
      <c r="B31" s="38" t="s">
        <v>8</v>
      </c>
      <c r="C31" s="39"/>
      <c r="D31" s="39"/>
      <c r="E31" s="57"/>
      <c r="F31" s="57"/>
      <c r="G31" s="57"/>
      <c r="H31" s="57"/>
      <c r="I31" s="57"/>
      <c r="J31" s="57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9"/>
      <c r="W31" s="49"/>
      <c r="X31" s="44"/>
    </row>
    <row r="32" spans="1:24" ht="15" customHeight="1" hidden="1" thickBot="1">
      <c r="A32" s="36" t="s">
        <v>44</v>
      </c>
      <c r="B32" s="32" t="s">
        <v>26</v>
      </c>
      <c r="C32" s="39"/>
      <c r="D32" s="39"/>
      <c r="E32" s="57"/>
      <c r="F32" s="57"/>
      <c r="G32" s="57"/>
      <c r="H32" s="57"/>
      <c r="I32" s="57"/>
      <c r="J32" s="57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9"/>
      <c r="W32" s="50"/>
      <c r="X32" s="45"/>
    </row>
    <row r="33" spans="1:24" ht="24" customHeight="1" hidden="1" thickBot="1">
      <c r="A33" s="36" t="s">
        <v>46</v>
      </c>
      <c r="B33" s="33" t="s">
        <v>47</v>
      </c>
      <c r="C33" s="40"/>
      <c r="D33" s="40"/>
      <c r="E33" s="58"/>
      <c r="F33" s="58"/>
      <c r="G33" s="58"/>
      <c r="H33" s="58"/>
      <c r="I33" s="58"/>
      <c r="J33" s="58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4">
        <f>SUM(V29-V31)</f>
        <v>4558.004500000033</v>
      </c>
      <c r="W33" s="51"/>
      <c r="X33" s="46"/>
    </row>
    <row r="34" spans="1:24" ht="24" customHeight="1" hidden="1" thickBot="1">
      <c r="A34" s="52" t="s">
        <v>51</v>
      </c>
      <c r="B34" s="33" t="s">
        <v>27</v>
      </c>
      <c r="C34" s="40"/>
      <c r="D34" s="40"/>
      <c r="E34" s="58"/>
      <c r="F34" s="58"/>
      <c r="G34" s="58"/>
      <c r="H34" s="58"/>
      <c r="I34" s="58"/>
      <c r="J34" s="58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4">
        <f>SUM(V30-V31)</f>
        <v>458421.0905</v>
      </c>
      <c r="W34" s="51"/>
      <c r="X34" s="46"/>
    </row>
    <row r="35" spans="3:24" ht="24" customHeight="1" hidden="1">
      <c r="C35" s="20"/>
      <c r="D35" s="20"/>
      <c r="E35" s="20"/>
      <c r="F35" s="20"/>
      <c r="G35" s="20"/>
      <c r="H35" s="20"/>
      <c r="I35" s="20"/>
      <c r="J35" s="20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</row>
    <row r="36" ht="12.75" hidden="1"/>
    <row r="37" ht="0.75" customHeight="1" hidden="1"/>
    <row r="38" ht="12.75" hidden="1"/>
    <row r="39" ht="12.75" hidden="1"/>
    <row r="40" ht="12.75">
      <c r="B40" t="s">
        <v>67</v>
      </c>
    </row>
    <row r="44" ht="12.75" customHeight="1"/>
    <row r="45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2019-02-11T10:53:15Z</cp:lastPrinted>
  <dcterms:created xsi:type="dcterms:W3CDTF">2011-06-16T11:06:26Z</dcterms:created>
  <dcterms:modified xsi:type="dcterms:W3CDTF">2019-02-14T05:31:14Z</dcterms:modified>
  <cp:category/>
  <cp:version/>
  <cp:contentType/>
  <cp:contentStatus/>
</cp:coreProperties>
</file>