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<sst xmlns="http://schemas.openxmlformats.org/spreadsheetml/2006/main" count="79" uniqueCount="79">
  <si>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</si>
  <si>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</si>
  <si>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</si>
  <si>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</si>
  <si>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</si>
  <si>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</si>
  <si>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</si>
  <si>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</si>
  <si>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</si>
  <si>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</si>
  <si>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</si>
  <si>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</si>
  <si>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</si>
  <si>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</si>
  <si>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</si>
  <si>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</si>
  <si>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</si>
  <si>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</si>
  <si>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</si>
  <si>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</si>
  <si>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</si>
  <si>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</si>
  <si>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</si>
  <si>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</si>
  <si>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</si>
  <si>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</si>
  <si>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</si>
  <si>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</si>
  <si>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</si>
  <si>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</si>
  <si>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</si>
  <si>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</si>
  <si>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</si>
  <si>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</si>
  <si>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</si>
  <si>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</si>
  <si>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</si>
  <si>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</si>
  <si>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</si>
  <si>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</si>
  <si>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</si>
  <si>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</si>
  <si>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</si>
  <si>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</si>
  <si>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</si>
  <si>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</si>
  <si>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</si>
  <si>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</si>
  <si>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</si>
  <si>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Попова д.2 А</t>
  </si>
  <si>
    <t>Итого за 2011 г</t>
  </si>
  <si>
    <t>Проверка дымовых каналов</t>
  </si>
  <si>
    <t>11</t>
  </si>
  <si>
    <t>Результат за месяц</t>
  </si>
  <si>
    <t>Дом по ул.Попова д.2 А вступил в ООО "Наш дом" с февраля 2010 года               тариф 9,2 руб</t>
  </si>
  <si>
    <t>Итого за 2012 г</t>
  </si>
  <si>
    <t>Благоустройство территории</t>
  </si>
  <si>
    <t>4.12</t>
  </si>
  <si>
    <t>4.14</t>
  </si>
  <si>
    <t xml:space="preserve">Материалы </t>
  </si>
  <si>
    <t>4.15</t>
  </si>
  <si>
    <t>Итого за 2013 г</t>
  </si>
  <si>
    <t>Итого за 2014 г</t>
  </si>
  <si>
    <t>рентабельность 5%</t>
  </si>
  <si>
    <t>Итого за 2015 г</t>
  </si>
  <si>
    <t>Услуги сторонних орган.</t>
  </si>
  <si>
    <t xml:space="preserve">Расходы на управление,аренда, связь </t>
  </si>
  <si>
    <t>Исполнитель  вед. экономист /Викторова Л.С./</t>
  </si>
  <si>
    <t>Транспортные(ГСМ,зап.части,амортизация и страхование а/м</t>
  </si>
  <si>
    <t>Итого за 2016 г</t>
  </si>
  <si>
    <t>Итого за 2017 г</t>
  </si>
  <si>
    <t>Начислено  СОИД</t>
  </si>
  <si>
    <t>Начислено  нежилые</t>
  </si>
  <si>
    <t>Электроэнергия СОИД</t>
  </si>
  <si>
    <t>Холодная вода СОИД</t>
  </si>
  <si>
    <t>Канализация СОИД</t>
  </si>
  <si>
    <t xml:space="preserve">претензионная работы,охрана труда,отопление, хол.вода, эл.энегрия   </t>
  </si>
  <si>
    <t>Итого за 2017 8</t>
  </si>
  <si>
    <t>Всего за 2010-2018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</si>
</sst>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6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9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5" fillId="0" borderId="32" xfId="0" applyFont="1" applyBorder="1" applyAlignment="1">
      <alignment/>
    </xf>
    <xf numFmtId="2" fontId="25" fillId="0" borderId="35" xfId="0" applyNumberFormat="1" applyFont="1" applyBorder="1" applyAlignment="1">
      <alignment/>
    </xf>
    <xf numFmtId="49" fontId="0" fillId="0" borderId="35" xfId="0" applyNumberFormat="1" applyBorder="1" applyAlignment="1">
      <alignment horizontal="center"/>
    </xf>
    <xf numFmtId="0" fontId="21" fillId="0" borderId="38" xfId="0" applyFont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2" fontId="25" fillId="0" borderId="40" xfId="0" applyNumberFormat="1" applyFont="1" applyBorder="1" applyAlignment="1">
      <alignment/>
    </xf>
    <xf numFmtId="0" fontId="26" fillId="0" borderId="32" xfId="0" applyFont="1" applyBorder="1" applyAlignment="1">
      <alignment wrapText="1"/>
    </xf>
    <xf numFmtId="0" fontId="26" fillId="0" borderId="37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19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47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0" fontId="21" fillId="0" borderId="37" xfId="0" applyFont="1" applyBorder="1" applyAlignment="1">
      <alignment/>
    </xf>
    <xf numFmtId="2" fontId="21" fillId="0" borderId="48" xfId="0" applyNumberFormat="1" applyFont="1" applyBorder="1" applyAlignment="1">
      <alignment/>
    </xf>
    <xf numFmtId="2" fontId="21" fillId="0" borderId="39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7" fillId="0" borderId="35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11" xfId="0" applyFont="1" applyBorder="1" applyAlignment="1">
      <alignment/>
    </xf>
    <xf numFmtId="2" fontId="28" fillId="0" borderId="35" xfId="0" applyNumberFormat="1" applyFont="1" applyBorder="1" applyAlignment="1">
      <alignment/>
    </xf>
    <xf numFmtId="0" fontId="22" fillId="0" borderId="0" xfId="0" applyFont="1" applyAlignment="1">
      <alignment/>
    </xf>
    <xf numFmtId="2" fontId="27" fillId="0" borderId="35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7" fillId="0" borderId="35" xfId="0" applyFont="1" applyBorder="1" applyAlignment="1">
      <alignment wrapText="1"/>
    </xf>
    <xf numFmtId="2" fontId="27" fillId="0" borderId="11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29" fillId="0" borderId="35" xfId="0" applyFont="1" applyBorder="1" applyAlignment="1">
      <alignment/>
    </xf>
    <xf numFmtId="0" fontId="22" fillId="0" borderId="2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B10">
      <selection activeCell="B29" sqref="B29:X29"/>
    </sheetView>
  </sheetViews>
  <sheetFormatPr defaultColWidth="9.00390625" defaultRowHeight="12.75"/>
  <cols>
    <col min="1" max="1" width="3.25390625" style="26" hidden="1" customWidth="1"/>
    <col min="2" max="2" width="24.375" style="0" customWidth="1"/>
    <col min="3" max="3" width="8.00390625" style="0" hidden="1" customWidth="1"/>
    <col min="4" max="4" width="7.75390625" style="0" hidden="1" customWidth="1"/>
    <col min="5" max="5" width="9.375" style="0" hidden="1" customWidth="1"/>
    <col min="6" max="6" width="9.125" style="0" hidden="1" customWidth="1"/>
    <col min="7" max="7" width="9.875" style="0" hidden="1" customWidth="1"/>
    <col min="8" max="8" width="0.12890625" style="0" hidden="1" customWidth="1"/>
    <col min="9" max="9" width="10.375" style="0" hidden="1" customWidth="1"/>
    <col min="10" max="10" width="9.875" style="0" hidden="1" customWidth="1"/>
    <col min="11" max="11" width="8.625" style="0" customWidth="1"/>
    <col min="12" max="12" width="8.00390625" style="0" customWidth="1"/>
    <col min="13" max="13" width="8.375" style="0" customWidth="1"/>
    <col min="14" max="14" width="8.25390625" style="0" customWidth="1"/>
    <col min="15" max="17" width="8.375" style="0" customWidth="1"/>
    <col min="18" max="18" width="8.125" style="0" customWidth="1"/>
    <col min="19" max="19" width="8.375" style="0" customWidth="1"/>
    <col min="20" max="20" width="8.75390625" style="0" customWidth="1"/>
    <col min="21" max="21" width="8.25390625" style="0" customWidth="1"/>
    <col min="22" max="23" width="8.375" style="0" customWidth="1"/>
    <col min="24" max="24" width="9.875" style="0" customWidth="1"/>
  </cols>
  <sheetData>
    <row r="1" spans="2:29" ht="12.75" customHeight="1">
      <c r="B1" s="90" t="s">
        <v>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>
      <c r="B2" s="90" t="s">
        <v>54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4"/>
      <c r="V2" s="4"/>
      <c r="W2" s="4"/>
      <c r="X2" s="4"/>
      <c r="Y2" s="4"/>
      <c r="Z2" s="4"/>
      <c r="AA2" s="4"/>
      <c r="AB2" s="4"/>
      <c r="AC2" s="4"/>
    </row>
    <row r="3" spans="2:29" ht="12.75" customHeight="1">
      <c r="B3" s="89" t="s"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3"/>
      <c r="Z3" s="3"/>
      <c r="AA3" s="3"/>
      <c r="AB3" s="3"/>
      <c r="AC3" s="3"/>
    </row>
    <row r="4" spans="2:29" ht="15" customHeight="1">
      <c r="B4" s="88" t="s">
        <v>11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2"/>
      <c r="Z4" s="2"/>
      <c r="AA4" s="2"/>
      <c r="AB4" s="2"/>
      <c r="AC4" s="2"/>
    </row>
    <row r="5" spans="2:29" ht="15" customHeight="1" thickBot="1">
      <c r="B5" s="88" t="s">
        <v>49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2"/>
      <c r="Z5" s="2"/>
      <c r="AA5" s="2"/>
      <c r="AB5" s="2"/>
      <c r="AC5" s="2"/>
    </row>
    <row r="6" spans="2:29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  <c r="AA6" s="2"/>
      <c r="AB6" s="2"/>
      <c r="AC6" s="2"/>
    </row>
    <row r="7" spans="1:29" ht="24.75" customHeight="1" thickBot="1">
      <c r="A7" s="35" t="s">
        <v>28</v>
      </c>
      <c r="B7" s="27" t="s">
        <v>7</v>
      </c>
      <c r="C7" s="38" t="s">
        <v>46</v>
      </c>
      <c r="D7" s="64" t="s">
        <v>50</v>
      </c>
      <c r="E7" s="50" t="s">
        <v>55</v>
      </c>
      <c r="F7" s="50" t="s">
        <v>61</v>
      </c>
      <c r="G7" s="50" t="s">
        <v>62</v>
      </c>
      <c r="H7" s="50" t="s">
        <v>64</v>
      </c>
      <c r="I7" s="50" t="s">
        <v>69</v>
      </c>
      <c r="J7" s="50" t="s">
        <v>70</v>
      </c>
      <c r="K7" s="6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5" t="s">
        <v>18</v>
      </c>
      <c r="R7" s="5" t="s">
        <v>19</v>
      </c>
      <c r="S7" s="5" t="s">
        <v>20</v>
      </c>
      <c r="T7" s="5" t="s">
        <v>21</v>
      </c>
      <c r="U7" s="5" t="s">
        <v>23</v>
      </c>
      <c r="V7" s="15" t="s">
        <v>22</v>
      </c>
      <c r="W7" s="50" t="s">
        <v>77</v>
      </c>
      <c r="X7" s="45" t="s">
        <v>78</v>
      </c>
      <c r="Y7" s="1"/>
      <c r="Z7" s="1"/>
      <c r="AA7" s="1"/>
      <c r="AB7" s="1"/>
      <c r="AC7" s="1"/>
    </row>
    <row r="8" spans="1:24" ht="13.5" thickBot="1">
      <c r="A8" s="36" t="s">
        <v>29</v>
      </c>
      <c r="B8" s="28" t="s">
        <v>1</v>
      </c>
      <c r="C8" s="60">
        <v>76680.63</v>
      </c>
      <c r="D8" s="65">
        <v>106098.12</v>
      </c>
      <c r="E8" s="61">
        <v>106255.68</v>
      </c>
      <c r="F8" s="60">
        <v>106164.23</v>
      </c>
      <c r="G8" s="61">
        <v>106113.42</v>
      </c>
      <c r="H8" s="60">
        <v>106114.32</v>
      </c>
      <c r="I8" s="60">
        <v>106114.32</v>
      </c>
      <c r="J8" s="60">
        <v>84034.14</v>
      </c>
      <c r="K8" s="7">
        <v>7002.77</v>
      </c>
      <c r="L8" s="7">
        <v>7002.77</v>
      </c>
      <c r="M8" s="7">
        <v>7002.77</v>
      </c>
      <c r="N8" s="7">
        <v>7002.77</v>
      </c>
      <c r="O8" s="7">
        <v>7002.77</v>
      </c>
      <c r="P8" s="7">
        <v>7002.77</v>
      </c>
      <c r="Q8" s="8">
        <v>7002.77</v>
      </c>
      <c r="R8" s="8">
        <v>7002.77</v>
      </c>
      <c r="S8" s="8">
        <v>7002.77</v>
      </c>
      <c r="T8" s="8">
        <v>7002.77</v>
      </c>
      <c r="U8" s="8">
        <v>7002.77</v>
      </c>
      <c r="V8" s="8">
        <v>7002.77</v>
      </c>
      <c r="W8" s="77">
        <f>SUM(K8:V8)</f>
        <v>84033.24000000003</v>
      </c>
      <c r="X8" s="54">
        <f>SUM(C8:V8)</f>
        <v>881608.1000000002</v>
      </c>
    </row>
    <row r="9" spans="1:24" ht="13.5" thickBot="1">
      <c r="A9" s="36"/>
      <c r="B9" s="28" t="s">
        <v>71</v>
      </c>
      <c r="C9" s="61"/>
      <c r="D9" s="65"/>
      <c r="E9" s="61"/>
      <c r="F9" s="61"/>
      <c r="G9" s="61"/>
      <c r="H9" s="61"/>
      <c r="I9" s="61"/>
      <c r="J9" s="61">
        <v>9573.35</v>
      </c>
      <c r="K9" s="7">
        <f aca="true" t="shared" si="0" ref="K9:P9">1028.18+36.63+32.34</f>
        <v>1097.15</v>
      </c>
      <c r="L9" s="7">
        <f t="shared" si="0"/>
        <v>1097.15</v>
      </c>
      <c r="M9" s="7">
        <f t="shared" si="0"/>
        <v>1097.15</v>
      </c>
      <c r="N9" s="7">
        <f t="shared" si="0"/>
        <v>1097.15</v>
      </c>
      <c r="O9" s="7">
        <f t="shared" si="0"/>
        <v>1097.15</v>
      </c>
      <c r="P9" s="7">
        <f t="shared" si="0"/>
        <v>1097.15</v>
      </c>
      <c r="Q9" s="8">
        <f>1079.16+36.84+32.63</f>
        <v>1148.63</v>
      </c>
      <c r="R9" s="8">
        <f>36.84+32.63</f>
        <v>69.47</v>
      </c>
      <c r="S9" s="8">
        <f>36.84+32.63</f>
        <v>69.47</v>
      </c>
      <c r="T9" s="8">
        <f>36.84+32.63</f>
        <v>69.47</v>
      </c>
      <c r="U9" s="8">
        <f>36.84+32.63</f>
        <v>69.47</v>
      </c>
      <c r="V9" s="8">
        <f>36.84+32.63</f>
        <v>69.47</v>
      </c>
      <c r="W9" s="77">
        <f>SUM(K9:V9)</f>
        <v>8078.880000000001</v>
      </c>
      <c r="X9" s="54">
        <f>SUM(C9:V9)</f>
        <v>17652.230000000003</v>
      </c>
    </row>
    <row r="10" spans="1:24" ht="13.5" thickBot="1">
      <c r="A10" s="36"/>
      <c r="B10" s="28" t="s">
        <v>72</v>
      </c>
      <c r="C10" s="61"/>
      <c r="D10" s="65"/>
      <c r="E10" s="61"/>
      <c r="F10" s="61"/>
      <c r="G10" s="61"/>
      <c r="H10" s="61"/>
      <c r="I10" s="61"/>
      <c r="J10" s="61">
        <v>23338.5</v>
      </c>
      <c r="K10" s="7">
        <v>1995.71</v>
      </c>
      <c r="L10" s="7">
        <v>1995.71</v>
      </c>
      <c r="M10" s="7">
        <v>1995.71</v>
      </c>
      <c r="N10" s="7">
        <v>1995.71</v>
      </c>
      <c r="O10" s="7">
        <v>1995.71</v>
      </c>
      <c r="P10" s="7">
        <v>1995.71</v>
      </c>
      <c r="Q10" s="8">
        <v>2002.54</v>
      </c>
      <c r="R10" s="8">
        <v>2002.54</v>
      </c>
      <c r="S10" s="8">
        <v>2002.54</v>
      </c>
      <c r="T10" s="8">
        <v>2002.54</v>
      </c>
      <c r="U10" s="8">
        <v>2002.54</v>
      </c>
      <c r="V10" s="8">
        <v>2002.54</v>
      </c>
      <c r="W10" s="77">
        <f>SUM(K10:V10)</f>
        <v>23989.500000000004</v>
      </c>
      <c r="X10" s="54">
        <f>SUM(C10:V10)</f>
        <v>47328</v>
      </c>
    </row>
    <row r="11" spans="1:24" s="86" customFormat="1" ht="13.5" thickBot="1">
      <c r="A11" s="80" t="s">
        <v>30</v>
      </c>
      <c r="B11" s="81" t="s">
        <v>2</v>
      </c>
      <c r="C11" s="82">
        <f aca="true" t="shared" si="1" ref="C11:K11">SUM(C12:C26)</f>
        <v>59611.34</v>
      </c>
      <c r="D11" s="83">
        <f t="shared" si="1"/>
        <v>78654.19</v>
      </c>
      <c r="E11" s="82">
        <f t="shared" si="1"/>
        <v>108970.64</v>
      </c>
      <c r="F11" s="82">
        <f t="shared" si="1"/>
        <v>88549.29999999999</v>
      </c>
      <c r="G11" s="82">
        <f t="shared" si="1"/>
        <v>76339.95999999999</v>
      </c>
      <c r="H11" s="82">
        <f>SUM(H12:H26)</f>
        <v>93545.27</v>
      </c>
      <c r="I11" s="82">
        <f>SUM(I12:I26)</f>
        <v>99525.48999999999</v>
      </c>
      <c r="J11" s="82">
        <f>SUM(J12:J26)</f>
        <v>121686.45</v>
      </c>
      <c r="K11" s="84">
        <f t="shared" si="1"/>
        <v>10512.19</v>
      </c>
      <c r="L11" s="84">
        <f aca="true" t="shared" si="2" ref="L11:V11">SUM(L12:L26)</f>
        <v>8905.32</v>
      </c>
      <c r="M11" s="84">
        <f t="shared" si="2"/>
        <v>7987.91</v>
      </c>
      <c r="N11" s="84">
        <f t="shared" si="2"/>
        <v>7723.6</v>
      </c>
      <c r="O11" s="84">
        <f t="shared" si="2"/>
        <v>7918.150000000001</v>
      </c>
      <c r="P11" s="84">
        <f t="shared" si="2"/>
        <v>17350.2</v>
      </c>
      <c r="Q11" s="84">
        <f t="shared" si="2"/>
        <v>15728.86</v>
      </c>
      <c r="R11" s="84">
        <f t="shared" si="2"/>
        <v>6665.2</v>
      </c>
      <c r="S11" s="84">
        <f t="shared" si="2"/>
        <v>6392.75</v>
      </c>
      <c r="T11" s="84">
        <f t="shared" si="2"/>
        <v>6926.77</v>
      </c>
      <c r="U11" s="84">
        <f t="shared" si="2"/>
        <v>6970.34</v>
      </c>
      <c r="V11" s="83">
        <f t="shared" si="2"/>
        <v>17815.59</v>
      </c>
      <c r="W11" s="82">
        <f>SUM(K11:V11)</f>
        <v>120896.88</v>
      </c>
      <c r="X11" s="85">
        <f>SUM(C11:V11)</f>
        <v>847779.5199999997</v>
      </c>
    </row>
    <row r="12" spans="1:24" ht="13.5" thickBot="1">
      <c r="A12" s="36" t="s">
        <v>31</v>
      </c>
      <c r="B12" s="30" t="s">
        <v>4</v>
      </c>
      <c r="C12" s="42">
        <v>13069.11</v>
      </c>
      <c r="D12" s="66">
        <v>16830.36</v>
      </c>
      <c r="E12" s="42">
        <v>19106</v>
      </c>
      <c r="F12" s="42">
        <v>21859.32</v>
      </c>
      <c r="G12" s="42">
        <v>20021.42</v>
      </c>
      <c r="H12" s="42">
        <v>18216.55</v>
      </c>
      <c r="I12" s="42">
        <v>18534.06</v>
      </c>
      <c r="J12" s="42">
        <v>18321.29</v>
      </c>
      <c r="K12" s="7">
        <f>1484+59.02</f>
        <v>1543.02</v>
      </c>
      <c r="L12" s="8">
        <f>1484+64.74</f>
        <v>1548.74</v>
      </c>
      <c r="M12" s="8">
        <f>1431+43.01</f>
        <v>1474.01</v>
      </c>
      <c r="N12" s="8">
        <f>1378+116.99</f>
        <v>1494.99</v>
      </c>
      <c r="O12" s="8">
        <f>1272+109.3</f>
        <v>1381.3</v>
      </c>
      <c r="P12" s="8">
        <f>1431+116.28</f>
        <v>1547.28</v>
      </c>
      <c r="Q12" s="8">
        <f>1431+99.22</f>
        <v>1530.22</v>
      </c>
      <c r="R12" s="8">
        <f>1431+125.44</f>
        <v>1556.44</v>
      </c>
      <c r="S12" s="8">
        <f>1431+93.24</f>
        <v>1524.24</v>
      </c>
      <c r="T12" s="8">
        <f>1431+75.66</f>
        <v>1506.66</v>
      </c>
      <c r="U12" s="8">
        <f>1431+87.83</f>
        <v>1518.83</v>
      </c>
      <c r="V12" s="16">
        <f>1431+80.73</f>
        <v>1511.73</v>
      </c>
      <c r="W12" s="52">
        <f aca="true" t="shared" si="3" ref="W12:W28">SUM(K12:V12)</f>
        <v>18137.46</v>
      </c>
      <c r="X12" s="55">
        <f aca="true" t="shared" si="4" ref="X12:X26">SUM(C12:V12)</f>
        <v>164095.56999999998</v>
      </c>
    </row>
    <row r="13" spans="1:24" ht="15.75" customHeight="1" thickBot="1">
      <c r="A13" s="36" t="s">
        <v>32</v>
      </c>
      <c r="B13" s="31" t="s">
        <v>65</v>
      </c>
      <c r="C13" s="43">
        <v>17046.26</v>
      </c>
      <c r="D13" s="67">
        <v>7870.86</v>
      </c>
      <c r="E13" s="43">
        <f>2942.04+4000</f>
        <v>6942.04</v>
      </c>
      <c r="F13" s="43">
        <f>1157.08+7371.66</f>
        <v>8528.74</v>
      </c>
      <c r="G13" s="43">
        <f>1149.67+400</f>
        <v>1549.67</v>
      </c>
      <c r="H13" s="43">
        <v>7104.65</v>
      </c>
      <c r="I13" s="43">
        <v>5099.89</v>
      </c>
      <c r="J13" s="43">
        <v>8281.3</v>
      </c>
      <c r="K13" s="9">
        <v>1300</v>
      </c>
      <c r="L13" s="10">
        <f>700+320</f>
        <v>1020</v>
      </c>
      <c r="M13" s="10">
        <v>210</v>
      </c>
      <c r="N13" s="10"/>
      <c r="O13" s="10">
        <v>300</v>
      </c>
      <c r="P13" s="10">
        <v>4000</v>
      </c>
      <c r="Q13" s="10"/>
      <c r="R13" s="10"/>
      <c r="S13" s="10"/>
      <c r="T13" s="10"/>
      <c r="U13" s="10"/>
      <c r="V13" s="17">
        <f>1200+9450</f>
        <v>10650</v>
      </c>
      <c r="W13" s="52">
        <f t="shared" si="3"/>
        <v>17480</v>
      </c>
      <c r="X13" s="55">
        <f t="shared" si="4"/>
        <v>79903.41</v>
      </c>
    </row>
    <row r="14" spans="1:24" ht="14.25" customHeight="1" thickBot="1">
      <c r="A14" s="36" t="s">
        <v>33</v>
      </c>
      <c r="B14" s="29" t="s">
        <v>5</v>
      </c>
      <c r="C14" s="43">
        <v>3318.4</v>
      </c>
      <c r="D14" s="67">
        <v>0</v>
      </c>
      <c r="E14" s="43">
        <v>0</v>
      </c>
      <c r="F14" s="43">
        <v>0</v>
      </c>
      <c r="G14" s="43"/>
      <c r="H14" s="43">
        <v>0</v>
      </c>
      <c r="I14" s="43">
        <v>5466.1</v>
      </c>
      <c r="J14" s="43">
        <v>0</v>
      </c>
      <c r="K14" s="9"/>
      <c r="L14" s="10"/>
      <c r="M14" s="10"/>
      <c r="N14" s="10"/>
      <c r="O14" s="10"/>
      <c r="P14" s="10"/>
      <c r="Q14" s="10">
        <v>7062.67</v>
      </c>
      <c r="R14" s="10"/>
      <c r="S14" s="10"/>
      <c r="T14" s="10"/>
      <c r="U14" s="10"/>
      <c r="V14" s="17"/>
      <c r="W14" s="52">
        <f t="shared" si="3"/>
        <v>7062.67</v>
      </c>
      <c r="X14" s="55">
        <f t="shared" si="4"/>
        <v>15847.17</v>
      </c>
    </row>
    <row r="15" spans="1:24" ht="13.5" customHeight="1" thickBot="1">
      <c r="A15" s="36" t="s">
        <v>34</v>
      </c>
      <c r="B15" s="29" t="s">
        <v>51</v>
      </c>
      <c r="C15" s="43">
        <v>0</v>
      </c>
      <c r="D15" s="67">
        <v>952.36</v>
      </c>
      <c r="E15" s="43">
        <v>0</v>
      </c>
      <c r="F15" s="43">
        <v>0</v>
      </c>
      <c r="G15" s="43"/>
      <c r="H15" s="43">
        <v>1600</v>
      </c>
      <c r="I15" s="43">
        <v>1500</v>
      </c>
      <c r="J15" s="43">
        <v>1200</v>
      </c>
      <c r="K15" s="9">
        <v>900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7"/>
      <c r="W15" s="52">
        <f t="shared" si="3"/>
        <v>900</v>
      </c>
      <c r="X15" s="55">
        <f t="shared" si="4"/>
        <v>6152.360000000001</v>
      </c>
    </row>
    <row r="16" spans="1:24" ht="15.75" customHeight="1" thickBot="1">
      <c r="A16" s="36" t="s">
        <v>35</v>
      </c>
      <c r="B16" s="31" t="s">
        <v>59</v>
      </c>
      <c r="C16" s="43">
        <v>279.44</v>
      </c>
      <c r="D16" s="67">
        <v>7157.08</v>
      </c>
      <c r="E16" s="43">
        <v>27911.51</v>
      </c>
      <c r="F16" s="43">
        <v>1386.17</v>
      </c>
      <c r="G16" s="43">
        <v>784</v>
      </c>
      <c r="H16" s="43">
        <v>5845.44</v>
      </c>
      <c r="I16" s="43">
        <v>8736.74</v>
      </c>
      <c r="J16" s="43">
        <v>23165.17</v>
      </c>
      <c r="K16" s="9">
        <v>280</v>
      </c>
      <c r="L16" s="10"/>
      <c r="M16" s="10"/>
      <c r="N16" s="10">
        <v>60</v>
      </c>
      <c r="O16" s="10">
        <v>194.4</v>
      </c>
      <c r="P16" s="10">
        <f>4229.13+325</f>
        <v>4554.13</v>
      </c>
      <c r="Q16" s="10">
        <v>754.4</v>
      </c>
      <c r="R16" s="10"/>
      <c r="S16" s="10">
        <v>60</v>
      </c>
      <c r="T16" s="10">
        <v>360</v>
      </c>
      <c r="U16" s="10">
        <v>87.4</v>
      </c>
      <c r="V16" s="17"/>
      <c r="W16" s="52">
        <f t="shared" si="3"/>
        <v>6350.329999999999</v>
      </c>
      <c r="X16" s="55">
        <f t="shared" si="4"/>
        <v>81615.87999999998</v>
      </c>
    </row>
    <row r="17" spans="1:24" ht="13.5" customHeight="1" thickBot="1">
      <c r="A17" s="36" t="s">
        <v>36</v>
      </c>
      <c r="B17" s="31" t="s">
        <v>56</v>
      </c>
      <c r="C17" s="43">
        <v>0</v>
      </c>
      <c r="D17" s="67">
        <v>0</v>
      </c>
      <c r="E17" s="43">
        <v>256</v>
      </c>
      <c r="F17" s="43">
        <v>0</v>
      </c>
      <c r="G17" s="43">
        <v>15.03</v>
      </c>
      <c r="H17" s="43">
        <v>52.96</v>
      </c>
      <c r="I17" s="43">
        <v>708.85</v>
      </c>
      <c r="J17" s="43">
        <v>421.2</v>
      </c>
      <c r="K17" s="9">
        <v>14</v>
      </c>
      <c r="L17" s="10">
        <v>78</v>
      </c>
      <c r="M17" s="10"/>
      <c r="N17" s="10"/>
      <c r="O17" s="10"/>
      <c r="P17" s="10"/>
      <c r="Q17" s="10"/>
      <c r="R17" s="10"/>
      <c r="S17" s="10"/>
      <c r="T17" s="10"/>
      <c r="U17" s="10"/>
      <c r="V17" s="17"/>
      <c r="W17" s="52">
        <f t="shared" si="3"/>
        <v>92</v>
      </c>
      <c r="X17" s="55">
        <f t="shared" si="4"/>
        <v>1546.04</v>
      </c>
    </row>
    <row r="18" spans="1:24" ht="13.5" customHeight="1" thickBot="1">
      <c r="A18" s="36" t="s">
        <v>37</v>
      </c>
      <c r="B18" s="31" t="s">
        <v>73</v>
      </c>
      <c r="C18" s="43">
        <v>2826.96</v>
      </c>
      <c r="D18" s="67">
        <v>3070.11</v>
      </c>
      <c r="E18" s="43">
        <v>2504.32</v>
      </c>
      <c r="F18" s="43">
        <v>0</v>
      </c>
      <c r="G18" s="43"/>
      <c r="H18" s="43">
        <v>0</v>
      </c>
      <c r="I18" s="43">
        <v>0</v>
      </c>
      <c r="J18" s="43">
        <v>8998.1</v>
      </c>
      <c r="K18" s="9">
        <v>1028.18</v>
      </c>
      <c r="L18" s="9">
        <v>1028.18</v>
      </c>
      <c r="M18" s="9">
        <v>1028.18</v>
      </c>
      <c r="N18" s="9">
        <v>1028.18</v>
      </c>
      <c r="O18" s="9">
        <v>1028.18</v>
      </c>
      <c r="P18" s="9">
        <v>1028.18</v>
      </c>
      <c r="Q18" s="10">
        <v>1079.16</v>
      </c>
      <c r="R18" s="10"/>
      <c r="S18" s="10"/>
      <c r="T18" s="10"/>
      <c r="U18" s="10"/>
      <c r="V18" s="10"/>
      <c r="W18" s="52">
        <f t="shared" si="3"/>
        <v>7248.240000000001</v>
      </c>
      <c r="X18" s="55">
        <f t="shared" si="4"/>
        <v>24647.73</v>
      </c>
    </row>
    <row r="19" spans="1:24" ht="13.5" customHeight="1" thickBot="1">
      <c r="A19" s="36"/>
      <c r="B19" s="31" t="s">
        <v>74</v>
      </c>
      <c r="C19" s="43"/>
      <c r="D19" s="67"/>
      <c r="E19" s="43"/>
      <c r="F19" s="43"/>
      <c r="G19" s="43"/>
      <c r="H19" s="43"/>
      <c r="I19" s="43"/>
      <c r="J19" s="43">
        <v>441.51</v>
      </c>
      <c r="K19" s="9">
        <v>46.25</v>
      </c>
      <c r="L19" s="9">
        <v>46.25</v>
      </c>
      <c r="M19" s="9">
        <v>46.25</v>
      </c>
      <c r="N19" s="9">
        <v>46.25</v>
      </c>
      <c r="O19" s="9">
        <v>46.25</v>
      </c>
      <c r="P19" s="9">
        <v>46.25</v>
      </c>
      <c r="Q19" s="10">
        <v>46.53</v>
      </c>
      <c r="R19" s="10">
        <v>46.53</v>
      </c>
      <c r="S19" s="10">
        <v>46.53</v>
      </c>
      <c r="T19" s="10">
        <v>46.53</v>
      </c>
      <c r="U19" s="10">
        <v>46.53</v>
      </c>
      <c r="V19" s="10">
        <v>46.53</v>
      </c>
      <c r="W19" s="52">
        <f>SUM(K19:V19)</f>
        <v>556.6799999999998</v>
      </c>
      <c r="X19" s="55">
        <f>SUM(C19:V19)</f>
        <v>998.1899999999998</v>
      </c>
    </row>
    <row r="20" spans="1:24" ht="13.5" customHeight="1" thickBot="1">
      <c r="A20" s="36"/>
      <c r="B20" s="31" t="s">
        <v>75</v>
      </c>
      <c r="C20" s="43"/>
      <c r="D20" s="67"/>
      <c r="E20" s="43"/>
      <c r="F20" s="43"/>
      <c r="G20" s="43"/>
      <c r="H20" s="43"/>
      <c r="I20" s="43"/>
      <c r="J20" s="43">
        <v>284.92</v>
      </c>
      <c r="K20" s="9">
        <v>40.84</v>
      </c>
      <c r="L20" s="9">
        <v>40.84</v>
      </c>
      <c r="M20" s="9">
        <v>40.84</v>
      </c>
      <c r="N20" s="9">
        <v>40.84</v>
      </c>
      <c r="O20" s="9">
        <v>40.84</v>
      </c>
      <c r="P20" s="9">
        <v>40.84</v>
      </c>
      <c r="Q20" s="10">
        <v>41.19</v>
      </c>
      <c r="R20" s="10">
        <v>41.19</v>
      </c>
      <c r="S20" s="10">
        <v>41.19</v>
      </c>
      <c r="T20" s="10">
        <v>41.19</v>
      </c>
      <c r="U20" s="10">
        <v>41.19</v>
      </c>
      <c r="V20" s="10">
        <v>41.19</v>
      </c>
      <c r="W20" s="52">
        <f>SUM(K20:V20)</f>
        <v>492.18</v>
      </c>
      <c r="X20" s="55">
        <f>SUM(C20:V20)</f>
        <v>777.1000000000004</v>
      </c>
    </row>
    <row r="21" spans="1:24" ht="15" customHeight="1" thickBot="1">
      <c r="A21" s="36" t="s">
        <v>38</v>
      </c>
      <c r="B21" s="31" t="s">
        <v>6</v>
      </c>
      <c r="C21" s="43">
        <v>565.29</v>
      </c>
      <c r="D21" s="67">
        <v>435.35</v>
      </c>
      <c r="E21" s="43">
        <v>455.32</v>
      </c>
      <c r="F21" s="43">
        <v>431.57</v>
      </c>
      <c r="G21" s="43">
        <v>476.12</v>
      </c>
      <c r="H21" s="43">
        <v>504.68</v>
      </c>
      <c r="I21" s="43">
        <v>320.31</v>
      </c>
      <c r="J21" s="43">
        <v>526.41</v>
      </c>
      <c r="K21" s="9"/>
      <c r="L21" s="10"/>
      <c r="M21" s="10">
        <v>116.38</v>
      </c>
      <c r="N21" s="10"/>
      <c r="O21" s="10"/>
      <c r="P21" s="10">
        <v>93.11</v>
      </c>
      <c r="Q21" s="10"/>
      <c r="R21" s="10"/>
      <c r="S21" s="10">
        <v>79.49</v>
      </c>
      <c r="T21" s="10"/>
      <c r="U21" s="10"/>
      <c r="V21" s="17">
        <v>69.83</v>
      </c>
      <c r="W21" s="52">
        <f t="shared" si="3"/>
        <v>358.81</v>
      </c>
      <c r="X21" s="55">
        <f t="shared" si="4"/>
        <v>4073.8599999999997</v>
      </c>
    </row>
    <row r="22" spans="1:24" ht="27" customHeight="1" thickBot="1">
      <c r="A22" s="36" t="s">
        <v>39</v>
      </c>
      <c r="B22" s="31" t="s">
        <v>68</v>
      </c>
      <c r="C22" s="43">
        <v>1031.64</v>
      </c>
      <c r="D22" s="67">
        <v>3696.93</v>
      </c>
      <c r="E22" s="43">
        <v>5107.27</v>
      </c>
      <c r="F22" s="43">
        <v>4676.66</v>
      </c>
      <c r="G22" s="43">
        <v>3101.65</v>
      </c>
      <c r="H22" s="43">
        <v>3658.22</v>
      </c>
      <c r="I22" s="43">
        <v>3868.46</v>
      </c>
      <c r="J22" s="43">
        <v>3930.2</v>
      </c>
      <c r="K22" s="9">
        <v>342.8</v>
      </c>
      <c r="L22" s="10">
        <v>314.48</v>
      </c>
      <c r="M22" s="10">
        <v>419.39</v>
      </c>
      <c r="N22" s="10">
        <v>327.04</v>
      </c>
      <c r="O22" s="10">
        <v>275.07</v>
      </c>
      <c r="P22" s="10">
        <v>398.68</v>
      </c>
      <c r="Q22" s="10">
        <v>324.3</v>
      </c>
      <c r="R22" s="10">
        <v>331.64</v>
      </c>
      <c r="S22" s="10">
        <v>272.57</v>
      </c>
      <c r="T22" s="10">
        <v>409.15</v>
      </c>
      <c r="U22" s="10">
        <v>361.73</v>
      </c>
      <c r="V22" s="17">
        <v>353.23</v>
      </c>
      <c r="W22" s="52">
        <f t="shared" si="3"/>
        <v>4130.08</v>
      </c>
      <c r="X22" s="55">
        <f t="shared" si="4"/>
        <v>33201.11000000001</v>
      </c>
    </row>
    <row r="23" spans="1:24" ht="22.5" customHeight="1" thickBot="1">
      <c r="A23" s="36" t="s">
        <v>40</v>
      </c>
      <c r="B23" s="31" t="s">
        <v>66</v>
      </c>
      <c r="C23" s="43">
        <v>1823.86</v>
      </c>
      <c r="D23" s="67">
        <v>2011.13</v>
      </c>
      <c r="E23" s="43">
        <v>604.53</v>
      </c>
      <c r="F23" s="43">
        <v>429.25</v>
      </c>
      <c r="G23" s="43">
        <v>933.04</v>
      </c>
      <c r="H23" s="43">
        <v>630.46</v>
      </c>
      <c r="I23" s="43">
        <v>570.32</v>
      </c>
      <c r="J23" s="43">
        <v>429.89</v>
      </c>
      <c r="K23" s="9">
        <v>33.88</v>
      </c>
      <c r="L23" s="10">
        <v>22.75</v>
      </c>
      <c r="M23" s="10">
        <v>16.15</v>
      </c>
      <c r="N23" s="10">
        <v>22.7</v>
      </c>
      <c r="O23" s="10">
        <v>21.07</v>
      </c>
      <c r="P23" s="10">
        <v>25.13</v>
      </c>
      <c r="Q23" s="10">
        <v>76.85</v>
      </c>
      <c r="R23" s="10">
        <f>19.68</f>
        <v>19.68</v>
      </c>
      <c r="S23" s="10">
        <v>24.36</v>
      </c>
      <c r="T23" s="10">
        <v>21.1</v>
      </c>
      <c r="U23" s="10">
        <v>100.88</v>
      </c>
      <c r="V23" s="17">
        <v>32.07</v>
      </c>
      <c r="W23" s="52">
        <f t="shared" si="3"/>
        <v>416.62</v>
      </c>
      <c r="X23" s="55">
        <f t="shared" si="4"/>
        <v>7849.099999999999</v>
      </c>
    </row>
    <row r="24" spans="1:24" ht="36.75" customHeight="1" thickBot="1">
      <c r="A24" s="36" t="s">
        <v>57</v>
      </c>
      <c r="B24" s="31" t="s">
        <v>76</v>
      </c>
      <c r="C24" s="43">
        <v>721</v>
      </c>
      <c r="D24" s="67">
        <v>3204.98</v>
      </c>
      <c r="E24" s="43">
        <v>3142.31</v>
      </c>
      <c r="F24" s="43">
        <v>4211.03</v>
      </c>
      <c r="G24" s="43">
        <v>3617.99</v>
      </c>
      <c r="H24" s="43">
        <v>4672.92</v>
      </c>
      <c r="I24" s="43">
        <v>4025.44</v>
      </c>
      <c r="J24" s="43">
        <v>4240.07</v>
      </c>
      <c r="K24" s="9">
        <f>16.96+121.27+187.35</f>
        <v>325.58</v>
      </c>
      <c r="L24" s="10">
        <f>177.87+18.58+184.08</f>
        <v>380.53</v>
      </c>
      <c r="M24" s="10">
        <f>180.16+18.42+178.05</f>
        <v>376.63</v>
      </c>
      <c r="N24" s="10">
        <f>189.78+18.67+138.7</f>
        <v>347.15</v>
      </c>
      <c r="O24" s="10">
        <f>230.1+16.77+108.24</f>
        <v>355.11</v>
      </c>
      <c r="P24" s="10">
        <f>184.8+15.73+103.29</f>
        <v>303.82</v>
      </c>
      <c r="Q24" s="10">
        <f>17.7+120.02+233.21</f>
        <v>370.93</v>
      </c>
      <c r="R24" s="10">
        <f>18.8+182.4+180.79</f>
        <v>381.99</v>
      </c>
      <c r="S24" s="10">
        <f>210.63+14.79+141.07</f>
        <v>366.49</v>
      </c>
      <c r="T24" s="10">
        <f>19.74+253.85+205.33</f>
        <v>478.91999999999996</v>
      </c>
      <c r="U24" s="10">
        <f>16.18+141.6+294.15</f>
        <v>451.92999999999995</v>
      </c>
      <c r="V24" s="17">
        <f>267.1+18.71+239.64</f>
        <v>525.45</v>
      </c>
      <c r="W24" s="52">
        <f t="shared" si="3"/>
        <v>4664.53</v>
      </c>
      <c r="X24" s="55">
        <f t="shared" si="4"/>
        <v>32500.270000000004</v>
      </c>
    </row>
    <row r="25" spans="1:24" ht="14.25" customHeight="1" thickBot="1">
      <c r="A25" s="36" t="s">
        <v>58</v>
      </c>
      <c r="B25" s="31" t="s">
        <v>10</v>
      </c>
      <c r="C25" s="43">
        <v>16457.91</v>
      </c>
      <c r="D25" s="67">
        <v>31250.47</v>
      </c>
      <c r="E25" s="43">
        <v>39470.92</v>
      </c>
      <c r="F25" s="43">
        <v>43975.84</v>
      </c>
      <c r="G25" s="43">
        <v>42563.03</v>
      </c>
      <c r="H25" s="43">
        <v>47770.73</v>
      </c>
      <c r="I25" s="43">
        <v>47511.07</v>
      </c>
      <c r="J25" s="43">
        <v>47910.14</v>
      </c>
      <c r="K25" s="9">
        <f>10512.19-6183.19</f>
        <v>4329.000000000001</v>
      </c>
      <c r="L25" s="10">
        <f>8907.32-4773.69-2</f>
        <v>4131.63</v>
      </c>
      <c r="M25" s="10">
        <f>7987.91-4033.56</f>
        <v>3954.35</v>
      </c>
      <c r="N25" s="10">
        <f>7723.6-3660.44</f>
        <v>4063.1600000000003</v>
      </c>
      <c r="O25" s="10">
        <f>7918.15-3965.93</f>
        <v>3952.22</v>
      </c>
      <c r="P25" s="10">
        <f>17350.2-12366.99</f>
        <v>4983.210000000001</v>
      </c>
      <c r="Q25" s="10">
        <f>15728.86-11596.57</f>
        <v>4132.290000000001</v>
      </c>
      <c r="R25" s="10">
        <f>6665.2-1687.7-1000</f>
        <v>3977.5</v>
      </c>
      <c r="S25" s="10">
        <f>6392.75-2688.1</f>
        <v>3704.65</v>
      </c>
      <c r="T25" s="10">
        <f>6926.77-3152.92</f>
        <v>3773.8500000000004</v>
      </c>
      <c r="U25" s="10">
        <f>6970.34-2874.83</f>
        <v>4095.51</v>
      </c>
      <c r="V25" s="17">
        <f>17815.61-13488.41-0.02</f>
        <v>4327.18</v>
      </c>
      <c r="W25" s="52">
        <f t="shared" si="3"/>
        <v>49424.55000000001</v>
      </c>
      <c r="X25" s="55">
        <f t="shared" si="4"/>
        <v>366334.66</v>
      </c>
    </row>
    <row r="26" spans="1:24" ht="13.5" customHeight="1" thickBot="1">
      <c r="A26" s="36" t="s">
        <v>60</v>
      </c>
      <c r="B26" s="32" t="s">
        <v>3</v>
      </c>
      <c r="C26" s="44">
        <v>2471.47</v>
      </c>
      <c r="D26" s="68">
        <v>2174.56</v>
      </c>
      <c r="E26" s="44">
        <v>3470.42</v>
      </c>
      <c r="F26" s="44">
        <v>3050.72</v>
      </c>
      <c r="G26" s="44">
        <v>3278.01</v>
      </c>
      <c r="H26" s="44">
        <v>3488.66</v>
      </c>
      <c r="I26" s="44">
        <v>3184.25</v>
      </c>
      <c r="J26" s="44">
        <v>3536.25</v>
      </c>
      <c r="K26" s="11">
        <f>10.49+43.11+275.04</f>
        <v>328.64000000000004</v>
      </c>
      <c r="L26" s="12">
        <f>39.11+249.56+5.25</f>
        <v>293.92</v>
      </c>
      <c r="M26" s="12">
        <f>41.41+264.32</f>
        <v>305.73</v>
      </c>
      <c r="N26" s="12">
        <f>4.4+39.14+249.75</f>
        <v>293.29</v>
      </c>
      <c r="O26" s="12">
        <f>9.2+42.63+271.88</f>
        <v>323.71</v>
      </c>
      <c r="P26" s="12">
        <f>18.7+42.14+268.73</f>
        <v>329.57000000000005</v>
      </c>
      <c r="Q26" s="12">
        <f>42.08+268.24</f>
        <v>310.32</v>
      </c>
      <c r="R26" s="12">
        <f>2.3+43.4+264.53</f>
        <v>310.22999999999996</v>
      </c>
      <c r="S26" s="12">
        <f>8.66+264.57</f>
        <v>273.23</v>
      </c>
      <c r="T26" s="12">
        <f>13.6+4.2+2.69+268.88</f>
        <v>289.37</v>
      </c>
      <c r="U26" s="12">
        <f>3.6+2.6+260.14</f>
        <v>266.34</v>
      </c>
      <c r="V26" s="19">
        <f>5.9+2.51+249.97</f>
        <v>258.38</v>
      </c>
      <c r="W26" s="52">
        <f t="shared" si="3"/>
        <v>3582.7300000000005</v>
      </c>
      <c r="X26" s="55">
        <f t="shared" si="4"/>
        <v>28237.069999999996</v>
      </c>
    </row>
    <row r="27" spans="1:24" ht="13.5" customHeight="1" thickBot="1">
      <c r="A27" s="36"/>
      <c r="B27" s="39" t="s">
        <v>63</v>
      </c>
      <c r="C27" s="70"/>
      <c r="D27" s="71"/>
      <c r="E27" s="70"/>
      <c r="F27" s="70"/>
      <c r="G27" s="73">
        <f>G8*5%</f>
        <v>5305.671</v>
      </c>
      <c r="H27" s="73">
        <f>H8*5%</f>
        <v>5305.716</v>
      </c>
      <c r="I27" s="73">
        <f>I8*5%</f>
        <v>5305.716</v>
      </c>
      <c r="J27" s="79">
        <f>J8*5%</f>
        <v>4201.707</v>
      </c>
      <c r="K27" s="72">
        <f>K8*5%</f>
        <v>350.1385</v>
      </c>
      <c r="L27" s="72">
        <f aca="true" t="shared" si="5" ref="L27:V27">L8*5%</f>
        <v>350.1385</v>
      </c>
      <c r="M27" s="72">
        <f t="shared" si="5"/>
        <v>350.1385</v>
      </c>
      <c r="N27" s="72">
        <f t="shared" si="5"/>
        <v>350.1385</v>
      </c>
      <c r="O27" s="72">
        <f t="shared" si="5"/>
        <v>350.1385</v>
      </c>
      <c r="P27" s="72">
        <f t="shared" si="5"/>
        <v>350.1385</v>
      </c>
      <c r="Q27" s="72">
        <f t="shared" si="5"/>
        <v>350.1385</v>
      </c>
      <c r="R27" s="72">
        <f t="shared" si="5"/>
        <v>350.1385</v>
      </c>
      <c r="S27" s="72">
        <f t="shared" si="5"/>
        <v>350.1385</v>
      </c>
      <c r="T27" s="72">
        <f t="shared" si="5"/>
        <v>350.1385</v>
      </c>
      <c r="U27" s="72">
        <f t="shared" si="5"/>
        <v>350.1385</v>
      </c>
      <c r="V27" s="72">
        <f t="shared" si="5"/>
        <v>350.1385</v>
      </c>
      <c r="W27" s="73">
        <f t="shared" si="3"/>
        <v>4201.662</v>
      </c>
      <c r="X27" s="59"/>
    </row>
    <row r="28" spans="1:24" ht="15" customHeight="1" thickBot="1">
      <c r="A28" s="36" t="s">
        <v>41</v>
      </c>
      <c r="B28" s="57" t="s">
        <v>53</v>
      </c>
      <c r="C28" s="58"/>
      <c r="D28" s="69"/>
      <c r="E28" s="58"/>
      <c r="F28" s="58"/>
      <c r="G28" s="58"/>
      <c r="H28" s="58"/>
      <c r="I28" s="58"/>
      <c r="J28" s="78">
        <f aca="true" t="shared" si="6" ref="J28:V28">SUM(J8+J9+J10-J11)-J27</f>
        <v>-8942.166999999992</v>
      </c>
      <c r="K28" s="74">
        <f t="shared" si="6"/>
        <v>-766.6984999999995</v>
      </c>
      <c r="L28" s="74">
        <f t="shared" si="6"/>
        <v>840.1715000000013</v>
      </c>
      <c r="M28" s="74">
        <f t="shared" si="6"/>
        <v>1757.5815000000011</v>
      </c>
      <c r="N28" s="74">
        <f t="shared" si="6"/>
        <v>2021.8915000000006</v>
      </c>
      <c r="O28" s="74">
        <f t="shared" si="6"/>
        <v>1827.3415000000005</v>
      </c>
      <c r="P28" s="74">
        <f t="shared" si="6"/>
        <v>-7604.7085</v>
      </c>
      <c r="Q28" s="74">
        <f t="shared" si="6"/>
        <v>-5925.0585</v>
      </c>
      <c r="R28" s="74">
        <f t="shared" si="6"/>
        <v>2059.441500000001</v>
      </c>
      <c r="S28" s="74">
        <f t="shared" si="6"/>
        <v>2331.8915000000006</v>
      </c>
      <c r="T28" s="74">
        <f t="shared" si="6"/>
        <v>1797.8715000000002</v>
      </c>
      <c r="U28" s="74">
        <f t="shared" si="6"/>
        <v>1754.3015000000005</v>
      </c>
      <c r="V28" s="74">
        <f t="shared" si="6"/>
        <v>-9090.948499999999</v>
      </c>
      <c r="W28" s="73">
        <f t="shared" si="3"/>
        <v>-8996.921999999991</v>
      </c>
      <c r="X28" s="59"/>
    </row>
    <row r="29" spans="1:24" ht="28.5" customHeight="1" thickBot="1">
      <c r="A29" s="36" t="s">
        <v>42</v>
      </c>
      <c r="B29" s="91" t="s">
        <v>24</v>
      </c>
      <c r="C29" s="91">
        <v>17069.29</v>
      </c>
      <c r="D29" s="83">
        <f>SUM(D8-D11)</f>
        <v>27443.929999999993</v>
      </c>
      <c r="E29" s="82">
        <f>SUM(E8-E11)</f>
        <v>-2714.9600000000064</v>
      </c>
      <c r="F29" s="82">
        <f>SUM(F8-F11)</f>
        <v>17614.930000000008</v>
      </c>
      <c r="G29" s="87">
        <f>SUM(G8-G11)-G27</f>
        <v>24467.789000000004</v>
      </c>
      <c r="H29" s="87">
        <f>SUM(H8-H11)-H27</f>
        <v>7263.334000000003</v>
      </c>
      <c r="I29" s="87">
        <f>SUM(I8-I11)-I27</f>
        <v>1283.114000000016</v>
      </c>
      <c r="J29" s="87">
        <f>SUM(J8+J9+J10-J11)-J27</f>
        <v>-8942.166999999992</v>
      </c>
      <c r="K29" s="92">
        <f>SUM(K8+K9+K10-K11)-K27</f>
        <v>-766.6984999999995</v>
      </c>
      <c r="L29" s="93">
        <f>SUM(L28+K29)</f>
        <v>73.47300000000178</v>
      </c>
      <c r="M29" s="93">
        <f aca="true" t="shared" si="7" ref="M29:V29">SUM(M28+L29)</f>
        <v>1831.054500000003</v>
      </c>
      <c r="N29" s="93">
        <f t="shared" si="7"/>
        <v>3852.9460000000036</v>
      </c>
      <c r="O29" s="93">
        <f t="shared" si="7"/>
        <v>5680.287500000004</v>
      </c>
      <c r="P29" s="93">
        <f t="shared" si="7"/>
        <v>-1924.4209999999957</v>
      </c>
      <c r="Q29" s="93">
        <f t="shared" si="7"/>
        <v>-7849.479499999996</v>
      </c>
      <c r="R29" s="93">
        <f t="shared" si="7"/>
        <v>-5790.037999999995</v>
      </c>
      <c r="S29" s="93">
        <f t="shared" si="7"/>
        <v>-3458.1464999999944</v>
      </c>
      <c r="T29" s="93">
        <f t="shared" si="7"/>
        <v>-1660.2749999999942</v>
      </c>
      <c r="U29" s="93">
        <f t="shared" si="7"/>
        <v>94.02650000000631</v>
      </c>
      <c r="V29" s="93">
        <f t="shared" si="7"/>
        <v>-8996.921999999991</v>
      </c>
      <c r="W29" s="94"/>
      <c r="X29" s="95"/>
    </row>
    <row r="30" spans="1:24" ht="24" customHeight="1" hidden="1" thickBot="1">
      <c r="A30" s="36" t="s">
        <v>43</v>
      </c>
      <c r="B30" s="39" t="s">
        <v>25</v>
      </c>
      <c r="C30" s="39">
        <v>14069.29</v>
      </c>
      <c r="D30" s="18">
        <f>SUM(D8-D11,C30)</f>
        <v>41513.219999999994</v>
      </c>
      <c r="E30" s="52">
        <f>SUM(E8-E11,D30)</f>
        <v>38798.25999999999</v>
      </c>
      <c r="F30" s="52">
        <f>SUM(F8-F11,E30)</f>
        <v>56413.189999999995</v>
      </c>
      <c r="G30" s="76">
        <f>SUM(G29+F30)</f>
        <v>80880.97899999999</v>
      </c>
      <c r="H30" s="76">
        <f>SUM(H29+G30)</f>
        <v>88144.313</v>
      </c>
      <c r="I30" s="76">
        <f>SUM(I29+H30)</f>
        <v>89427.42700000001</v>
      </c>
      <c r="J30" s="76">
        <f>SUM(J29+I30)</f>
        <v>80485.26000000002</v>
      </c>
      <c r="K30" s="76">
        <f>SUM(K29+J30)</f>
        <v>79718.56150000003</v>
      </c>
      <c r="L30" s="75">
        <f>SUM(L28+K30)</f>
        <v>80558.73300000002</v>
      </c>
      <c r="M30" s="75">
        <f aca="true" t="shared" si="8" ref="M30:U30">SUM(M28+L30)</f>
        <v>82316.31450000002</v>
      </c>
      <c r="N30" s="75">
        <f t="shared" si="8"/>
        <v>84338.20600000002</v>
      </c>
      <c r="O30" s="75">
        <f t="shared" si="8"/>
        <v>86165.54750000002</v>
      </c>
      <c r="P30" s="75">
        <f t="shared" si="8"/>
        <v>78560.83900000002</v>
      </c>
      <c r="Q30" s="75">
        <f t="shared" si="8"/>
        <v>72635.78050000002</v>
      </c>
      <c r="R30" s="75">
        <f t="shared" si="8"/>
        <v>74695.22200000002</v>
      </c>
      <c r="S30" s="75">
        <f t="shared" si="8"/>
        <v>77027.11350000002</v>
      </c>
      <c r="T30" s="75">
        <f t="shared" si="8"/>
        <v>78824.98500000002</v>
      </c>
      <c r="U30" s="75">
        <f t="shared" si="8"/>
        <v>80579.28650000002</v>
      </c>
      <c r="V30" s="75">
        <f>SUM(V28+U30)</f>
        <v>71488.33800000002</v>
      </c>
      <c r="W30" s="52"/>
      <c r="X30" s="46"/>
    </row>
    <row r="31" spans="1:24" ht="10.5" customHeight="1" hidden="1" thickBot="1">
      <c r="A31" s="36" t="s">
        <v>44</v>
      </c>
      <c r="B31" s="39" t="s">
        <v>8</v>
      </c>
      <c r="C31" s="40"/>
      <c r="D31" s="40"/>
      <c r="E31" s="62"/>
      <c r="F31" s="62"/>
      <c r="G31" s="62"/>
      <c r="H31" s="62"/>
      <c r="I31" s="62"/>
      <c r="J31" s="62"/>
      <c r="K31" s="13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20"/>
      <c r="W31" s="51"/>
      <c r="X31" s="47"/>
    </row>
    <row r="32" spans="1:24" ht="15" customHeight="1" hidden="1" thickBot="1">
      <c r="A32" s="37" t="s">
        <v>45</v>
      </c>
      <c r="B32" s="33" t="s">
        <v>26</v>
      </c>
      <c r="C32" s="40"/>
      <c r="D32" s="40"/>
      <c r="E32" s="62"/>
      <c r="F32" s="62"/>
      <c r="G32" s="62"/>
      <c r="H32" s="62"/>
      <c r="I32" s="62"/>
      <c r="J32" s="62"/>
      <c r="K32" s="1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20"/>
      <c r="W32" s="52"/>
      <c r="X32" s="48"/>
    </row>
    <row r="33" spans="1:24" ht="0.75" customHeight="1" hidden="1" thickBot="1">
      <c r="A33" s="37" t="s">
        <v>47</v>
      </c>
      <c r="B33" s="34" t="s">
        <v>48</v>
      </c>
      <c r="C33" s="41"/>
      <c r="D33" s="41"/>
      <c r="E33" s="63"/>
      <c r="F33" s="63"/>
      <c r="G33" s="63"/>
      <c r="H33" s="63"/>
      <c r="I33" s="63"/>
      <c r="J33" s="63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5">
        <f>SUM(V29-V31)</f>
        <v>-8996.921999999991</v>
      </c>
      <c r="W33" s="53"/>
      <c r="X33" s="49"/>
    </row>
    <row r="34" spans="1:24" ht="24" customHeight="1" hidden="1" thickBot="1">
      <c r="A34" s="56" t="s">
        <v>52</v>
      </c>
      <c r="B34" s="34" t="s">
        <v>27</v>
      </c>
      <c r="C34" s="41"/>
      <c r="D34" s="41"/>
      <c r="E34" s="63"/>
      <c r="F34" s="63"/>
      <c r="G34" s="63"/>
      <c r="H34" s="63"/>
      <c r="I34" s="63"/>
      <c r="J34" s="63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>
        <f>SUM(V30-V31)</f>
        <v>71488.33800000002</v>
      </c>
      <c r="W34" s="53"/>
      <c r="X34" s="49"/>
    </row>
    <row r="35" spans="3:24" ht="0.75" customHeight="1" hidden="1">
      <c r="C35" s="21"/>
      <c r="D35" s="21"/>
      <c r="E35" s="21"/>
      <c r="F35" s="21"/>
      <c r="G35" s="21"/>
      <c r="H35" s="21"/>
      <c r="I35" s="21"/>
      <c r="J35" s="21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</row>
    <row r="36" ht="12.75" hidden="1"/>
    <row r="37" ht="12.75" hidden="1"/>
    <row r="38" ht="12.75" hidden="1"/>
    <row r="39" ht="12.75" hidden="1"/>
    <row r="40" ht="12.75">
      <c r="B40" t="s">
        <v>67</v>
      </c>
    </row>
    <row r="44" ht="12.75" customHeight="1"/>
    <row r="45" ht="12.75" customHeight="1"/>
  </sheetData>
  <sheetProtection/>
  <mergeCells count="5">
    <mergeCell ref="B4:X4"/>
    <mergeCell ref="B5:X5"/>
    <mergeCell ref="B3:X3"/>
    <mergeCell ref="B1:M1"/>
    <mergeCell ref="B2:T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2019-02-11T10:58:58Z</cp:lastPrinted>
  <dcterms:created xsi:type="dcterms:W3CDTF">2011-06-16T11:06:26Z</dcterms:created>
  <dcterms:modified xsi:type="dcterms:W3CDTF">2019-02-14T05:31:32Z</dcterms:modified>
  <cp:category/>
  <cp:version/>
  <cp:contentType/>
  <cp:contentStatus/>
</cp:coreProperties>
</file>