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<sst xmlns="http://schemas.openxmlformats.org/spreadsheetml/2006/main" count="80" uniqueCount="79">
  <si>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</si>
  <si>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</si>
  <si>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</si>
  <si>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</si>
  <si>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</si>
  <si>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</si>
  <si>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</si>
  <si>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</si>
  <si>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</si>
  <si>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</si>
  <si>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</si>
  <si>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</si>
  <si>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</si>
  <si>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</si>
  <si>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</si>
  <si>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</si>
  <si>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</si>
  <si>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</si>
  <si>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</si>
  <si>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</si>
  <si>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</si>
  <si>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</si>
  <si>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</si>
  <si>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</si>
  <si>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</si>
  <si>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</si>
  <si>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</si>
  <si>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</si>
  <si>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</si>
  <si>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</si>
  <si>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</si>
  <si>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</si>
  <si>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</si>
  <si>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</si>
  <si>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</si>
  <si>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</si>
  <si>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</si>
  <si>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</si>
  <si>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</si>
  <si>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</si>
  <si>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</si>
  <si>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</si>
  <si>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</si>
  <si>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</si>
  <si>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</si>
  <si>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</si>
  <si>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Совхозная д.1</t>
  </si>
  <si>
    <t>Итого за 2011 г</t>
  </si>
  <si>
    <t>Результат за месяц</t>
  </si>
  <si>
    <t>Дом по ул.Совхозная д.1 вступил в ООО "Наш дом" с февраля 2010 года              тариф 9,2 руб</t>
  </si>
  <si>
    <t>Благоустройство территории</t>
  </si>
  <si>
    <t>Итого за 2012 г</t>
  </si>
  <si>
    <t xml:space="preserve">Материалы </t>
  </si>
  <si>
    <t>4.12</t>
  </si>
  <si>
    <t>4.13</t>
  </si>
  <si>
    <t>4.15</t>
  </si>
  <si>
    <t>4.16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</si>
  <si>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</si>
  <si>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</si>
  <si>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</si>
  <si>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</si>
  <si>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</si>
  <si>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</si>
  <si>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</si>
  <si>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4.5</t>
  </si>
  <si>
    <t>Проверка вент каналов</t>
  </si>
  <si>
    <t>Исполнитель вед. экономист  /Викторова Л.С./</t>
  </si>
  <si>
    <t>Итого за 2016 г</t>
  </si>
  <si>
    <t>Итого за 2017 г</t>
  </si>
  <si>
    <t>Электроэнергия СОИД</t>
  </si>
  <si>
    <t>Начислено  СОИД</t>
  </si>
  <si>
    <t>Начислено  нежилые</t>
  </si>
  <si>
    <t>Горячая вода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</si>
  <si>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</si>
  <si>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</si>
  <si>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</si>
  <si>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Транспортные(ГСМ,зап.части,амортизация,страх)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</si>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</sst>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3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8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36" xfId="0" applyFont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0" fontId="21" fillId="0" borderId="39" xfId="0" applyFont="1" applyBorder="1" applyAlignment="1">
      <alignment wrapText="1"/>
    </xf>
    <xf numFmtId="0" fontId="23" fillId="0" borderId="39" xfId="0" applyFont="1" applyBorder="1" applyAlignment="1">
      <alignment horizontal="left" vertical="center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0" fontId="21" fillId="0" borderId="44" xfId="0" applyFont="1" applyBorder="1" applyAlignment="1">
      <alignment wrapText="1"/>
    </xf>
    <xf numFmtId="0" fontId="21" fillId="2" borderId="44" xfId="0" applyFont="1" applyFill="1" applyBorder="1" applyAlignment="1">
      <alignment wrapText="1"/>
    </xf>
    <xf numFmtId="0" fontId="27" fillId="0" borderId="38" xfId="0" applyFont="1" applyBorder="1" applyAlignment="1">
      <alignment wrapText="1"/>
    </xf>
    <xf numFmtId="0" fontId="27" fillId="2" borderId="38" xfId="0" applyFont="1" applyFill="1" applyBorder="1" applyAlignment="1">
      <alignment wrapText="1"/>
    </xf>
    <xf numFmtId="0" fontId="26" fillId="0" borderId="45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27" fillId="2" borderId="25" xfId="0" applyFont="1" applyFill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31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8" fillId="0" borderId="27" xfId="0" applyFont="1" applyBorder="1" applyAlignment="1">
      <alignment/>
    </xf>
    <xf numFmtId="2" fontId="28" fillId="0" borderId="26" xfId="0" applyNumberFormat="1" applyFont="1" applyBorder="1" applyAlignment="1">
      <alignment/>
    </xf>
    <xf numFmtId="2" fontId="28" fillId="0" borderId="47" xfId="0" applyNumberFormat="1" applyFont="1" applyBorder="1" applyAlignment="1">
      <alignment/>
    </xf>
    <xf numFmtId="0" fontId="19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wrapText="1"/>
    </xf>
    <xf numFmtId="2" fontId="21" fillId="0" borderId="48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0" fontId="26" fillId="0" borderId="35" xfId="0" applyFont="1" applyBorder="1" applyAlignment="1">
      <alignment wrapText="1"/>
    </xf>
    <xf numFmtId="2" fontId="21" fillId="0" borderId="37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9" fillId="0" borderId="39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48" xfId="0" applyFont="1" applyBorder="1" applyAlignment="1">
      <alignment/>
    </xf>
    <xf numFmtId="2" fontId="30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2" fontId="29" fillId="0" borderId="34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9" fillId="0" borderId="34" xfId="0" applyFont="1" applyBorder="1" applyAlignment="1">
      <alignment wrapText="1"/>
    </xf>
    <xf numFmtId="0" fontId="29" fillId="0" borderId="39" xfId="0" applyFont="1" applyBorder="1" applyAlignment="1">
      <alignment wrapText="1"/>
    </xf>
    <xf numFmtId="2" fontId="29" fillId="0" borderId="48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B7">
      <selection activeCell="B30" sqref="B30:X30"/>
    </sheetView>
  </sheetViews>
  <sheetFormatPr defaultColWidth="9.00390625" defaultRowHeight="12.75"/>
  <cols>
    <col min="1" max="1" width="3.25390625" style="25" hidden="1" customWidth="1"/>
    <col min="2" max="2" width="19.75390625" style="0" customWidth="1"/>
    <col min="3" max="3" width="13.625" style="0" hidden="1" customWidth="1"/>
    <col min="4" max="4" width="11.75390625" style="0" hidden="1" customWidth="1"/>
    <col min="5" max="5" width="0.2421875" style="0" hidden="1" customWidth="1"/>
    <col min="6" max="7" width="9.25390625" style="0" hidden="1" customWidth="1"/>
    <col min="8" max="8" width="10.125" style="0" hidden="1" customWidth="1"/>
    <col min="9" max="9" width="9.375" style="0" hidden="1" customWidth="1"/>
    <col min="10" max="10" width="8.375" style="0" hidden="1" customWidth="1"/>
    <col min="11" max="12" width="9.125" style="0" customWidth="1"/>
    <col min="13" max="13" width="8.625" style="0" customWidth="1"/>
    <col min="15" max="15" width="8.625" style="0" customWidth="1"/>
    <col min="16" max="16" width="8.125" style="0" customWidth="1"/>
    <col min="17" max="17" width="8.875" style="0" customWidth="1"/>
    <col min="18" max="18" width="8.375" style="0" customWidth="1"/>
    <col min="19" max="19" width="8.75390625" style="0" customWidth="1"/>
    <col min="20" max="20" width="8.25390625" style="0" customWidth="1"/>
    <col min="21" max="21" width="8.625" style="0" customWidth="1"/>
    <col min="22" max="22" width="9.125" style="0" customWidth="1"/>
    <col min="23" max="23" width="9.00390625" style="0" customWidth="1"/>
    <col min="24" max="24" width="10.375" style="0" customWidth="1"/>
  </cols>
  <sheetData>
    <row r="1" spans="2:29" ht="12.75" customHeight="1"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3" t="s">
        <v>49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  <c r="AA3" s="3"/>
      <c r="AB3" s="3"/>
      <c r="AC3" s="3"/>
    </row>
    <row r="4" spans="2:29" ht="15" customHeight="1">
      <c r="B4" s="91" t="s">
        <v>10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"/>
      <c r="Z4" s="2"/>
      <c r="AA4" s="2"/>
      <c r="AB4" s="2"/>
      <c r="AC4" s="2"/>
    </row>
    <row r="5" spans="2:29" ht="15.75" customHeight="1" thickBot="1">
      <c r="B5" s="91" t="s">
        <v>46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3" customHeight="1" thickBot="1">
      <c r="A7" s="34" t="s">
        <v>27</v>
      </c>
      <c r="B7" s="26" t="s">
        <v>6</v>
      </c>
      <c r="C7" s="54" t="s">
        <v>43</v>
      </c>
      <c r="D7" s="46" t="s">
        <v>47</v>
      </c>
      <c r="E7" s="46" t="s">
        <v>51</v>
      </c>
      <c r="F7" s="46" t="s">
        <v>57</v>
      </c>
      <c r="G7" s="76" t="s">
        <v>58</v>
      </c>
      <c r="H7" s="46" t="s">
        <v>60</v>
      </c>
      <c r="I7" s="46" t="s">
        <v>67</v>
      </c>
      <c r="J7" s="46" t="s">
        <v>68</v>
      </c>
      <c r="K7" s="6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22</v>
      </c>
      <c r="V7" s="15" t="s">
        <v>21</v>
      </c>
      <c r="W7" s="46" t="s">
        <v>77</v>
      </c>
      <c r="X7" s="41" t="s">
        <v>78</v>
      </c>
      <c r="Y7" s="1"/>
      <c r="Z7" s="1"/>
      <c r="AA7" s="1"/>
      <c r="AB7" s="1"/>
      <c r="AC7" s="1"/>
    </row>
    <row r="8" spans="1:24" ht="13.5" thickBot="1">
      <c r="A8" s="35" t="s">
        <v>28</v>
      </c>
      <c r="B8" s="27" t="s">
        <v>1</v>
      </c>
      <c r="C8" s="63">
        <v>701279.86</v>
      </c>
      <c r="D8" s="64">
        <v>796206.86</v>
      </c>
      <c r="E8" s="64">
        <v>852853.8</v>
      </c>
      <c r="F8" s="64">
        <v>852859.32</v>
      </c>
      <c r="G8" s="77">
        <v>852850.12</v>
      </c>
      <c r="H8" s="64">
        <v>852738.8</v>
      </c>
      <c r="I8" s="64">
        <v>852551.12</v>
      </c>
      <c r="J8" s="64">
        <v>768772.24</v>
      </c>
      <c r="K8" s="7">
        <v>64047.64</v>
      </c>
      <c r="L8" s="7">
        <v>64047.64</v>
      </c>
      <c r="M8" s="7">
        <v>64047.64</v>
      </c>
      <c r="N8" s="7">
        <v>64047.64</v>
      </c>
      <c r="O8" s="7">
        <v>64047.64</v>
      </c>
      <c r="P8" s="7">
        <v>64047.64</v>
      </c>
      <c r="Q8" s="8">
        <v>64047.64</v>
      </c>
      <c r="R8" s="8">
        <v>64047.64</v>
      </c>
      <c r="S8" s="8">
        <v>64047.64</v>
      </c>
      <c r="T8" s="8">
        <v>64047.64</v>
      </c>
      <c r="U8" s="8">
        <v>64047.64</v>
      </c>
      <c r="V8" s="8">
        <v>64047.64</v>
      </c>
      <c r="W8" s="50">
        <f aca="true" t="shared" si="0" ref="W8:W14">SUM(K8:V8)</f>
        <v>768571.68</v>
      </c>
      <c r="X8" s="73">
        <f>SUM(C8:V8)</f>
        <v>7298683.799999996</v>
      </c>
    </row>
    <row r="9" spans="1:24" ht="13.5" thickBot="1">
      <c r="A9" s="35"/>
      <c r="B9" s="27" t="s">
        <v>70</v>
      </c>
      <c r="C9" s="77"/>
      <c r="D9" s="80"/>
      <c r="E9" s="80"/>
      <c r="F9" s="80"/>
      <c r="G9" s="77"/>
      <c r="H9" s="80"/>
      <c r="I9" s="80"/>
      <c r="J9" s="80">
        <v>87357.06</v>
      </c>
      <c r="K9" s="7">
        <f aca="true" t="shared" si="1" ref="K9:P9">6203.4+249.14+362.3+1109.12</f>
        <v>7923.96</v>
      </c>
      <c r="L9" s="7">
        <f t="shared" si="1"/>
        <v>7923.96</v>
      </c>
      <c r="M9" s="7">
        <f t="shared" si="1"/>
        <v>7923.96</v>
      </c>
      <c r="N9" s="7">
        <f t="shared" si="1"/>
        <v>7923.96</v>
      </c>
      <c r="O9" s="7">
        <f t="shared" si="1"/>
        <v>7923.96</v>
      </c>
      <c r="P9" s="7">
        <f t="shared" si="1"/>
        <v>7923.96</v>
      </c>
      <c r="Q9" s="8">
        <f>6510.94+250.59+365.54+1145.13</f>
        <v>8272.2</v>
      </c>
      <c r="R9" s="8">
        <f>250.59+365.54+1145.13</f>
        <v>1761.2600000000002</v>
      </c>
      <c r="S9" s="8">
        <f>250.59+365.54+1145.13</f>
        <v>1761.2600000000002</v>
      </c>
      <c r="T9" s="8">
        <f>250.59+365.54+1145.13</f>
        <v>1761.2600000000002</v>
      </c>
      <c r="U9" s="8">
        <f>250.59+365.54+1145.13</f>
        <v>1761.2600000000002</v>
      </c>
      <c r="V9" s="8">
        <f>250.59+365.54+1145.13</f>
        <v>1761.2600000000002</v>
      </c>
      <c r="W9" s="50">
        <f t="shared" si="0"/>
        <v>64622.26000000002</v>
      </c>
      <c r="X9" s="73">
        <f>SUM(C9:V9)</f>
        <v>151979.3200000001</v>
      </c>
    </row>
    <row r="10" spans="1:24" ht="12" customHeight="1" thickBot="1">
      <c r="A10" s="35"/>
      <c r="B10" s="27" t="s">
        <v>71</v>
      </c>
      <c r="C10" s="77"/>
      <c r="D10" s="80"/>
      <c r="E10" s="80"/>
      <c r="F10" s="80"/>
      <c r="G10" s="77"/>
      <c r="H10" s="80"/>
      <c r="I10" s="80"/>
      <c r="J10" s="80">
        <v>92769.32</v>
      </c>
      <c r="K10" s="7">
        <v>7806</v>
      </c>
      <c r="L10" s="7">
        <v>7806</v>
      </c>
      <c r="M10" s="7">
        <v>7806</v>
      </c>
      <c r="N10" s="7">
        <v>7806</v>
      </c>
      <c r="O10" s="7">
        <v>7806</v>
      </c>
      <c r="P10" s="7">
        <v>7806</v>
      </c>
      <c r="Q10" s="8">
        <v>7843.74</v>
      </c>
      <c r="R10" s="8">
        <v>7843.74</v>
      </c>
      <c r="S10" s="8">
        <v>7844.34</v>
      </c>
      <c r="T10" s="8">
        <v>7844.34</v>
      </c>
      <c r="U10" s="8">
        <v>7844.34</v>
      </c>
      <c r="V10" s="8">
        <v>7844.34</v>
      </c>
      <c r="W10" s="50">
        <f t="shared" si="0"/>
        <v>93900.83999999998</v>
      </c>
      <c r="X10" s="73">
        <f>SUM(C10:V10)</f>
        <v>186670.15999999997</v>
      </c>
    </row>
    <row r="11" spans="1:24" s="89" customFormat="1" ht="13.5" thickBot="1">
      <c r="A11" s="82" t="s">
        <v>29</v>
      </c>
      <c r="B11" s="83" t="s">
        <v>2</v>
      </c>
      <c r="C11" s="84">
        <f aca="true" t="shared" si="2" ref="C11:K11">SUM(C12:C27)</f>
        <v>612455.7799999999</v>
      </c>
      <c r="D11" s="85">
        <f t="shared" si="2"/>
        <v>808856.53</v>
      </c>
      <c r="E11" s="85">
        <f t="shared" si="2"/>
        <v>792812.22</v>
      </c>
      <c r="F11" s="85">
        <f t="shared" si="2"/>
        <v>1057811.76</v>
      </c>
      <c r="G11" s="84">
        <f t="shared" si="2"/>
        <v>713922.81</v>
      </c>
      <c r="H11" s="85">
        <f>SUM(H12:H27)</f>
        <v>766708.53</v>
      </c>
      <c r="I11" s="85">
        <f>SUM(I12:I27)</f>
        <v>714414.49</v>
      </c>
      <c r="J11" s="85">
        <f>SUM(J12:J27)</f>
        <v>849392.52</v>
      </c>
      <c r="K11" s="86">
        <f t="shared" si="2"/>
        <v>70522.82</v>
      </c>
      <c r="L11" s="86">
        <f aca="true" t="shared" si="3" ref="L11:V11">SUM(L12:L27)</f>
        <v>77867.38000000002</v>
      </c>
      <c r="M11" s="86">
        <f t="shared" si="3"/>
        <v>88975.83</v>
      </c>
      <c r="N11" s="86">
        <f t="shared" si="3"/>
        <v>75004</v>
      </c>
      <c r="O11" s="86">
        <f t="shared" si="3"/>
        <v>73656.31999999999</v>
      </c>
      <c r="P11" s="86">
        <f t="shared" si="3"/>
        <v>69766.42</v>
      </c>
      <c r="Q11" s="86">
        <f t="shared" si="3"/>
        <v>68902.45</v>
      </c>
      <c r="R11" s="86">
        <f t="shared" si="3"/>
        <v>61264.02</v>
      </c>
      <c r="S11" s="86">
        <f t="shared" si="3"/>
        <v>64408.39000000001</v>
      </c>
      <c r="T11" s="86">
        <f t="shared" si="3"/>
        <v>80068.57</v>
      </c>
      <c r="U11" s="86">
        <f t="shared" si="3"/>
        <v>64393.46</v>
      </c>
      <c r="V11" s="87">
        <f t="shared" si="3"/>
        <v>65974.68000000001</v>
      </c>
      <c r="W11" s="85">
        <f t="shared" si="0"/>
        <v>860804.34</v>
      </c>
      <c r="X11" s="88">
        <f aca="true" t="shared" si="4" ref="X11:X27">SUM(C11:V11)</f>
        <v>7177178.98</v>
      </c>
    </row>
    <row r="12" spans="1:24" ht="13.5" thickBot="1">
      <c r="A12" s="35" t="s">
        <v>30</v>
      </c>
      <c r="B12" s="29" t="s">
        <v>4</v>
      </c>
      <c r="C12" s="55">
        <v>101759.49</v>
      </c>
      <c r="D12" s="38">
        <v>128115.3</v>
      </c>
      <c r="E12" s="38">
        <v>134473.72</v>
      </c>
      <c r="F12" s="38">
        <v>154697.69</v>
      </c>
      <c r="G12" s="55">
        <v>170958.63</v>
      </c>
      <c r="H12" s="38">
        <v>156167.42</v>
      </c>
      <c r="I12" s="38">
        <v>152042.09</v>
      </c>
      <c r="J12" s="38">
        <v>151924.02</v>
      </c>
      <c r="K12" s="7">
        <f>12137+475.97</f>
        <v>12612.97</v>
      </c>
      <c r="L12" s="8">
        <f>12137+522.12</f>
        <v>12659.12</v>
      </c>
      <c r="M12" s="8">
        <f>12190+372.26</f>
        <v>12562.26</v>
      </c>
      <c r="N12" s="8">
        <f>12243+1052.87</f>
        <v>13295.869999999999</v>
      </c>
      <c r="O12" s="8">
        <f>12190+979.84</f>
        <v>13169.84</v>
      </c>
      <c r="P12" s="8">
        <f>12137+1002.38</f>
        <v>13139.38</v>
      </c>
      <c r="Q12" s="8">
        <f>851.91+12084</f>
        <v>12935.91</v>
      </c>
      <c r="R12" s="8">
        <f>12137+1081.41</f>
        <v>13218.41</v>
      </c>
      <c r="S12" s="8">
        <f>12296+813.47</f>
        <v>13109.47</v>
      </c>
      <c r="T12" s="8">
        <f>12349+662.66</f>
        <v>13011.66</v>
      </c>
      <c r="U12" s="8">
        <f>12243+763.21</f>
        <v>13006.21</v>
      </c>
      <c r="V12" s="16">
        <f>12084+693.16</f>
        <v>12777.16</v>
      </c>
      <c r="W12" s="50">
        <f t="shared" si="0"/>
        <v>155498.26</v>
      </c>
      <c r="X12" s="74">
        <f t="shared" si="4"/>
        <v>1305636.6199999999</v>
      </c>
    </row>
    <row r="13" spans="1:24" ht="13.5" customHeight="1" thickBot="1">
      <c r="A13" s="35" t="s">
        <v>31</v>
      </c>
      <c r="B13" s="30" t="s">
        <v>61</v>
      </c>
      <c r="C13" s="56">
        <v>166635.51</v>
      </c>
      <c r="D13" s="39">
        <v>64040.75</v>
      </c>
      <c r="E13" s="39">
        <f>3381.73+52727.73</f>
        <v>56109.46000000001</v>
      </c>
      <c r="F13" s="39">
        <f>103225.03+9560</f>
        <v>112785.03</v>
      </c>
      <c r="G13" s="56">
        <v>11174.12</v>
      </c>
      <c r="H13" s="39">
        <v>17134.37</v>
      </c>
      <c r="I13" s="39">
        <v>3409.17</v>
      </c>
      <c r="J13" s="39">
        <v>2910.8</v>
      </c>
      <c r="K13" s="9"/>
      <c r="L13" s="10"/>
      <c r="M13" s="10"/>
      <c r="N13" s="10"/>
      <c r="O13" s="10">
        <v>4570</v>
      </c>
      <c r="P13" s="10">
        <v>2500</v>
      </c>
      <c r="Q13" s="10"/>
      <c r="R13" s="10"/>
      <c r="S13" s="10">
        <v>5400</v>
      </c>
      <c r="T13" s="10"/>
      <c r="U13" s="10"/>
      <c r="V13" s="17"/>
      <c r="W13" s="50">
        <f t="shared" si="0"/>
        <v>12470</v>
      </c>
      <c r="X13" s="74">
        <f t="shared" si="4"/>
        <v>446669.20999999996</v>
      </c>
    </row>
    <row r="14" spans="1:24" ht="24.75" customHeight="1" thickBot="1">
      <c r="A14" s="35" t="s">
        <v>32</v>
      </c>
      <c r="B14" s="28" t="s">
        <v>5</v>
      </c>
      <c r="C14" s="56">
        <v>0</v>
      </c>
      <c r="D14" s="39">
        <v>9934.69</v>
      </c>
      <c r="E14" s="39">
        <v>0</v>
      </c>
      <c r="F14" s="39">
        <v>0</v>
      </c>
      <c r="G14" s="56">
        <v>13677.1</v>
      </c>
      <c r="H14" s="39">
        <v>0</v>
      </c>
      <c r="I14" s="39">
        <v>0</v>
      </c>
      <c r="J14" s="39">
        <v>14911.9</v>
      </c>
      <c r="K14" s="9"/>
      <c r="L14" s="10"/>
      <c r="M14" s="10"/>
      <c r="N14" s="10"/>
      <c r="O14" s="10"/>
      <c r="P14" s="10"/>
      <c r="Q14" s="10"/>
      <c r="R14" s="10"/>
      <c r="S14" s="10"/>
      <c r="T14" s="10">
        <v>14833.57</v>
      </c>
      <c r="U14" s="10"/>
      <c r="V14" s="17"/>
      <c r="W14" s="50">
        <f t="shared" si="0"/>
        <v>14833.57</v>
      </c>
      <c r="X14" s="74">
        <f t="shared" si="4"/>
        <v>53357.26</v>
      </c>
    </row>
    <row r="15" spans="1:24" ht="12.75" customHeight="1" thickBot="1">
      <c r="A15" s="35" t="s">
        <v>33</v>
      </c>
      <c r="B15" s="30" t="s">
        <v>52</v>
      </c>
      <c r="C15" s="56">
        <v>107521.89</v>
      </c>
      <c r="D15" s="39">
        <v>149226.92</v>
      </c>
      <c r="E15" s="39">
        <v>105439.41</v>
      </c>
      <c r="F15" s="39">
        <v>296049.54</v>
      </c>
      <c r="G15" s="56">
        <v>24586.42</v>
      </c>
      <c r="H15" s="39">
        <v>29350.69</v>
      </c>
      <c r="I15" s="39">
        <v>27325.14</v>
      </c>
      <c r="J15" s="39">
        <f>53986.64-12817.8</f>
        <v>41168.84</v>
      </c>
      <c r="K15" s="9">
        <f>989.44+125</f>
        <v>1114.44</v>
      </c>
      <c r="L15" s="10">
        <f>3560+4636.93</f>
        <v>8196.93</v>
      </c>
      <c r="M15" s="10">
        <f>14400.8+3469.63</f>
        <v>17870.43</v>
      </c>
      <c r="N15" s="10">
        <v>660</v>
      </c>
      <c r="O15" s="10">
        <v>1778.4</v>
      </c>
      <c r="P15" s="10">
        <v>431.12</v>
      </c>
      <c r="Q15" s="10">
        <v>504.58</v>
      </c>
      <c r="R15" s="10">
        <v>385.4</v>
      </c>
      <c r="S15" s="10">
        <v>823.72</v>
      </c>
      <c r="T15" s="10">
        <v>3952.47</v>
      </c>
      <c r="U15" s="10">
        <f>906.1+158.96</f>
        <v>1065.06</v>
      </c>
      <c r="V15" s="17">
        <v>480</v>
      </c>
      <c r="W15" s="50">
        <f aca="true" t="shared" si="5" ref="W15:W26">SUM(K15:V15)</f>
        <v>37262.55</v>
      </c>
      <c r="X15" s="74">
        <f t="shared" si="4"/>
        <v>817931.4</v>
      </c>
    </row>
    <row r="16" spans="1:24" ht="13.5" customHeight="1" thickBot="1">
      <c r="A16" s="35" t="s">
        <v>64</v>
      </c>
      <c r="B16" s="30" t="s">
        <v>65</v>
      </c>
      <c r="C16" s="56"/>
      <c r="D16" s="39"/>
      <c r="E16" s="39"/>
      <c r="F16" s="39"/>
      <c r="G16" s="56"/>
      <c r="H16" s="39">
        <v>6700</v>
      </c>
      <c r="I16" s="39">
        <v>7400</v>
      </c>
      <c r="J16" s="39">
        <v>5700</v>
      </c>
      <c r="K16" s="9"/>
      <c r="L16" s="10"/>
      <c r="M16" s="10"/>
      <c r="N16" s="10">
        <v>6700</v>
      </c>
      <c r="O16" s="10"/>
      <c r="P16" s="10"/>
      <c r="Q16" s="10"/>
      <c r="R16" s="10"/>
      <c r="S16" s="10"/>
      <c r="T16" s="10"/>
      <c r="U16" s="10"/>
      <c r="V16" s="17"/>
      <c r="W16" s="50">
        <f>SUM(K16:V16)</f>
        <v>6700</v>
      </c>
      <c r="X16" s="74">
        <f>SUM(C16:V16)</f>
        <v>26500</v>
      </c>
    </row>
    <row r="17" spans="1:24" ht="23.25" customHeight="1" thickBot="1">
      <c r="A17" s="35" t="s">
        <v>34</v>
      </c>
      <c r="B17" s="30" t="s">
        <v>50</v>
      </c>
      <c r="C17" s="56"/>
      <c r="D17" s="39"/>
      <c r="E17" s="39">
        <v>256</v>
      </c>
      <c r="F17" s="39">
        <v>0</v>
      </c>
      <c r="G17" s="56">
        <v>775.94</v>
      </c>
      <c r="H17" s="39">
        <v>9520</v>
      </c>
      <c r="I17" s="39">
        <v>708.85</v>
      </c>
      <c r="J17" s="39">
        <v>894.59</v>
      </c>
      <c r="K17" s="9">
        <v>14</v>
      </c>
      <c r="L17" s="10">
        <v>78</v>
      </c>
      <c r="M17" s="10"/>
      <c r="N17" s="10"/>
      <c r="O17" s="10"/>
      <c r="P17" s="10"/>
      <c r="Q17" s="10"/>
      <c r="R17" s="10"/>
      <c r="S17" s="10"/>
      <c r="T17" s="10"/>
      <c r="U17" s="10"/>
      <c r="V17" s="17"/>
      <c r="W17" s="50">
        <f t="shared" si="5"/>
        <v>92</v>
      </c>
      <c r="X17" s="74">
        <f>SUM(C17:V17)</f>
        <v>12247.380000000001</v>
      </c>
    </row>
    <row r="18" spans="1:24" ht="11.25" customHeight="1" thickBot="1">
      <c r="A18" s="35" t="s">
        <v>35</v>
      </c>
      <c r="B18" s="30" t="s">
        <v>69</v>
      </c>
      <c r="C18" s="56">
        <v>27850.17</v>
      </c>
      <c r="D18" s="39">
        <v>31853.93</v>
      </c>
      <c r="E18" s="39">
        <v>24038.46</v>
      </c>
      <c r="F18" s="39">
        <v>0</v>
      </c>
      <c r="G18" s="56"/>
      <c r="H18" s="39">
        <v>0</v>
      </c>
      <c r="I18" s="39">
        <v>0</v>
      </c>
      <c r="J18" s="39">
        <v>66301.55</v>
      </c>
      <c r="K18" s="9">
        <v>6203.4</v>
      </c>
      <c r="L18" s="9">
        <v>6203.4</v>
      </c>
      <c r="M18" s="9">
        <v>6203.4</v>
      </c>
      <c r="N18" s="9">
        <v>6203.4</v>
      </c>
      <c r="O18" s="9">
        <v>6203.4</v>
      </c>
      <c r="P18" s="9">
        <v>6203.4</v>
      </c>
      <c r="Q18" s="10">
        <v>6510.94</v>
      </c>
      <c r="R18" s="10"/>
      <c r="S18" s="10"/>
      <c r="T18" s="10"/>
      <c r="U18" s="10"/>
      <c r="V18" s="10"/>
      <c r="W18" s="50">
        <f>SUM(K18:V18)</f>
        <v>43731.340000000004</v>
      </c>
      <c r="X18" s="74">
        <f t="shared" si="4"/>
        <v>193775.44999999995</v>
      </c>
    </row>
    <row r="19" spans="1:24" ht="12" customHeight="1" thickBot="1">
      <c r="A19" s="35"/>
      <c r="B19" s="30" t="s">
        <v>73</v>
      </c>
      <c r="C19" s="56"/>
      <c r="D19" s="39"/>
      <c r="E19" s="39"/>
      <c r="F19" s="39"/>
      <c r="G19" s="56"/>
      <c r="H19" s="39"/>
      <c r="I19" s="39"/>
      <c r="J19" s="39">
        <v>3216.97</v>
      </c>
      <c r="K19" s="9">
        <v>276.09</v>
      </c>
      <c r="L19" s="9">
        <v>276.09</v>
      </c>
      <c r="M19" s="9">
        <v>276.09</v>
      </c>
      <c r="N19" s="9">
        <v>276.09</v>
      </c>
      <c r="O19" s="9">
        <v>276.09</v>
      </c>
      <c r="P19" s="9">
        <v>276.09</v>
      </c>
      <c r="Q19" s="10">
        <v>277.79</v>
      </c>
      <c r="R19" s="10">
        <v>277.79</v>
      </c>
      <c r="S19" s="10">
        <v>277.79</v>
      </c>
      <c r="T19" s="10">
        <v>277.79</v>
      </c>
      <c r="U19" s="10">
        <v>277.79</v>
      </c>
      <c r="V19" s="10">
        <v>277.79</v>
      </c>
      <c r="W19" s="50">
        <f>SUM(K19:V19)</f>
        <v>3323.2799999999997</v>
      </c>
      <c r="X19" s="74">
        <f>SUM(C19:V19)</f>
        <v>6540.25</v>
      </c>
    </row>
    <row r="20" spans="1:24" ht="12" customHeight="1" thickBot="1">
      <c r="A20" s="35"/>
      <c r="B20" s="30" t="s">
        <v>72</v>
      </c>
      <c r="C20" s="56"/>
      <c r="D20" s="39"/>
      <c r="E20" s="39"/>
      <c r="F20" s="39"/>
      <c r="G20" s="56"/>
      <c r="H20" s="39"/>
      <c r="I20" s="39"/>
      <c r="J20" s="39">
        <v>16382.6</v>
      </c>
      <c r="K20" s="9">
        <v>1229.39</v>
      </c>
      <c r="L20" s="9">
        <v>1228.16</v>
      </c>
      <c r="M20" s="9">
        <v>1228.16</v>
      </c>
      <c r="N20" s="9">
        <v>1228.16</v>
      </c>
      <c r="O20" s="9">
        <v>1228.16</v>
      </c>
      <c r="P20" s="9">
        <v>1228.16</v>
      </c>
      <c r="Q20" s="10">
        <v>526.01</v>
      </c>
      <c r="R20" s="10">
        <v>1269.4</v>
      </c>
      <c r="S20" s="10">
        <v>1269.4</v>
      </c>
      <c r="T20" s="10">
        <v>1269.4</v>
      </c>
      <c r="U20" s="10">
        <v>1269.4</v>
      </c>
      <c r="V20" s="10">
        <v>1269.4</v>
      </c>
      <c r="W20" s="50">
        <f>SUM(K20:V20)</f>
        <v>14243.199999999999</v>
      </c>
      <c r="X20" s="74">
        <f>SUM(C20:V20)</f>
        <v>30625.800000000007</v>
      </c>
    </row>
    <row r="21" spans="1:24" ht="10.5" customHeight="1" thickBot="1">
      <c r="A21" s="35"/>
      <c r="B21" s="30" t="s">
        <v>74</v>
      </c>
      <c r="C21" s="56"/>
      <c r="D21" s="39"/>
      <c r="E21" s="39"/>
      <c r="F21" s="39"/>
      <c r="G21" s="56"/>
      <c r="H21" s="39"/>
      <c r="I21" s="39"/>
      <c r="J21" s="39">
        <v>2801.59</v>
      </c>
      <c r="K21" s="9">
        <v>401.58</v>
      </c>
      <c r="L21" s="9">
        <v>401.58</v>
      </c>
      <c r="M21" s="9">
        <v>401.58</v>
      </c>
      <c r="N21" s="9">
        <v>401.58</v>
      </c>
      <c r="O21" s="9">
        <v>401.58</v>
      </c>
      <c r="P21" s="9">
        <v>401.58</v>
      </c>
      <c r="Q21" s="10">
        <v>405.02</v>
      </c>
      <c r="R21" s="10">
        <v>405.02</v>
      </c>
      <c r="S21" s="10">
        <v>405.02</v>
      </c>
      <c r="T21" s="10">
        <v>435.02</v>
      </c>
      <c r="U21" s="10">
        <v>435.02</v>
      </c>
      <c r="V21" s="10">
        <v>435.02</v>
      </c>
      <c r="W21" s="50">
        <f>SUM(K21:V21)</f>
        <v>4929.6</v>
      </c>
      <c r="X21" s="74">
        <f>SUM(C21:V21)</f>
        <v>7731.190000000002</v>
      </c>
    </row>
    <row r="22" spans="1:24" ht="14.25" customHeight="1" thickBot="1">
      <c r="A22" s="35" t="s">
        <v>36</v>
      </c>
      <c r="B22" s="30" t="s">
        <v>75</v>
      </c>
      <c r="C22" s="56">
        <v>2398.1</v>
      </c>
      <c r="D22" s="39">
        <v>9045.33</v>
      </c>
      <c r="E22" s="39">
        <v>1644.18</v>
      </c>
      <c r="F22" s="39">
        <v>1608.31</v>
      </c>
      <c r="G22" s="56">
        <v>1632.13</v>
      </c>
      <c r="H22" s="39">
        <v>1868.97</v>
      </c>
      <c r="I22" s="39">
        <v>1102.93</v>
      </c>
      <c r="J22" s="39">
        <v>1330.34</v>
      </c>
      <c r="K22" s="9"/>
      <c r="L22" s="10"/>
      <c r="M22" s="10">
        <v>464.39</v>
      </c>
      <c r="N22" s="10"/>
      <c r="O22" s="10"/>
      <c r="P22" s="10">
        <v>363.44</v>
      </c>
      <c r="Q22" s="10"/>
      <c r="R22" s="10"/>
      <c r="S22" s="10">
        <v>479.74</v>
      </c>
      <c r="T22" s="10"/>
      <c r="U22" s="10"/>
      <c r="V22" s="17">
        <v>514.53</v>
      </c>
      <c r="W22" s="50">
        <f t="shared" si="5"/>
        <v>1822.1</v>
      </c>
      <c r="X22" s="74">
        <f t="shared" si="4"/>
        <v>22452.39</v>
      </c>
    </row>
    <row r="23" spans="1:24" ht="21" customHeight="1" thickBot="1">
      <c r="A23" s="35" t="s">
        <v>37</v>
      </c>
      <c r="B23" s="30" t="s">
        <v>76</v>
      </c>
      <c r="C23" s="56">
        <v>9437.22</v>
      </c>
      <c r="D23" s="39">
        <v>33798.02</v>
      </c>
      <c r="E23" s="39">
        <v>43694.76</v>
      </c>
      <c r="F23" s="39">
        <v>40564.27</v>
      </c>
      <c r="G23" s="56">
        <v>28401.51</v>
      </c>
      <c r="H23" s="39">
        <v>33491.28</v>
      </c>
      <c r="I23" s="39">
        <v>35407.58</v>
      </c>
      <c r="J23" s="39">
        <v>34954.49</v>
      </c>
      <c r="K23" s="9">
        <v>3135.24</v>
      </c>
      <c r="L23" s="10">
        <v>2876.23</v>
      </c>
      <c r="M23" s="10">
        <v>3835.81</v>
      </c>
      <c r="N23" s="10">
        <v>2991.13</v>
      </c>
      <c r="O23" s="10">
        <v>2515.79</v>
      </c>
      <c r="P23" s="10">
        <v>3646.32</v>
      </c>
      <c r="Q23" s="10">
        <v>2966.02</v>
      </c>
      <c r="R23" s="10">
        <v>3033.22</v>
      </c>
      <c r="S23" s="10">
        <v>2492.9</v>
      </c>
      <c r="T23" s="10">
        <v>3742.11</v>
      </c>
      <c r="U23" s="10">
        <v>3308.39</v>
      </c>
      <c r="V23" s="17">
        <v>3230.7</v>
      </c>
      <c r="W23" s="50">
        <f t="shared" si="5"/>
        <v>37773.86</v>
      </c>
      <c r="X23" s="74">
        <f t="shared" si="4"/>
        <v>297522.99</v>
      </c>
    </row>
    <row r="24" spans="1:24" ht="24.75" customHeight="1" thickBot="1">
      <c r="A24" s="35" t="s">
        <v>53</v>
      </c>
      <c r="B24" s="30" t="s">
        <v>62</v>
      </c>
      <c r="C24" s="56">
        <v>16721.48</v>
      </c>
      <c r="D24" s="39">
        <v>18412.37</v>
      </c>
      <c r="E24" s="39">
        <v>5526.69</v>
      </c>
      <c r="F24" s="39">
        <v>3928.47</v>
      </c>
      <c r="G24" s="56">
        <v>8544.07</v>
      </c>
      <c r="H24" s="39">
        <v>5772.2</v>
      </c>
      <c r="I24" s="39">
        <v>5036.97</v>
      </c>
      <c r="J24" s="39">
        <v>3933.05</v>
      </c>
      <c r="K24" s="9">
        <v>309.88</v>
      </c>
      <c r="L24" s="10">
        <v>208.05</v>
      </c>
      <c r="M24" s="10">
        <v>147.72</v>
      </c>
      <c r="N24" s="10">
        <v>207.58</v>
      </c>
      <c r="O24" s="10">
        <v>192.74</v>
      </c>
      <c r="P24" s="10">
        <v>229.84</v>
      </c>
      <c r="Q24" s="10">
        <v>702.89</v>
      </c>
      <c r="R24" s="10">
        <v>179.97</v>
      </c>
      <c r="S24" s="10">
        <v>222.83</v>
      </c>
      <c r="T24" s="10">
        <v>192.96</v>
      </c>
      <c r="U24" s="10">
        <v>922.69</v>
      </c>
      <c r="V24" s="17">
        <v>293.32</v>
      </c>
      <c r="W24" s="50">
        <f t="shared" si="5"/>
        <v>3810.4700000000003</v>
      </c>
      <c r="X24" s="74">
        <f t="shared" si="4"/>
        <v>71685.77000000003</v>
      </c>
    </row>
    <row r="25" spans="1:24" ht="36" customHeight="1" thickBot="1">
      <c r="A25" s="35" t="s">
        <v>54</v>
      </c>
      <c r="B25" s="30" t="s">
        <v>63</v>
      </c>
      <c r="C25" s="56">
        <v>5424.83</v>
      </c>
      <c r="D25" s="39">
        <v>29843.48</v>
      </c>
      <c r="E25" s="39">
        <v>28822.08</v>
      </c>
      <c r="F25" s="39">
        <v>38537.15</v>
      </c>
      <c r="G25" s="56">
        <v>33128.42</v>
      </c>
      <c r="H25" s="39">
        <v>42750.65</v>
      </c>
      <c r="I25" s="39">
        <v>36845.83</v>
      </c>
      <c r="J25" s="39">
        <v>38788.83</v>
      </c>
      <c r="K25" s="9">
        <f>155.08+1109.18+1713.53</f>
        <v>2977.79</v>
      </c>
      <c r="L25" s="10">
        <f>1626.85+169.97+1500.54</f>
        <v>3297.3599999999997</v>
      </c>
      <c r="M25" s="10">
        <f>1647.78+168.49+1928.46</f>
        <v>3744.73</v>
      </c>
      <c r="N25" s="10">
        <f>1735.78+170.76+1268.6</f>
        <v>3175.14</v>
      </c>
      <c r="O25" s="10">
        <f>2104.54+153.41+990.01</f>
        <v>3247.96</v>
      </c>
      <c r="P25" s="10">
        <f>1690.17+143.89+944.68</f>
        <v>2778.74</v>
      </c>
      <c r="Q25" s="10">
        <f>161.92+1097.75+2132.92</f>
        <v>3392.59</v>
      </c>
      <c r="R25" s="10">
        <f>171.92+1668.24+1653.5</f>
        <v>3493.66</v>
      </c>
      <c r="S25" s="10">
        <f>1926.47+135.25+1290.2</f>
        <v>3351.92</v>
      </c>
      <c r="T25" s="10">
        <f>180.56+2321.77+1877.94</f>
        <v>4380.27</v>
      </c>
      <c r="U25" s="10">
        <f>147.95+1295.07+2690.31</f>
        <v>4133.33</v>
      </c>
      <c r="V25" s="17">
        <f>2442.88+171.1+2191.75</f>
        <v>4805.73</v>
      </c>
      <c r="W25" s="50">
        <f t="shared" si="5"/>
        <v>42779.22</v>
      </c>
      <c r="X25" s="74">
        <f t="shared" si="4"/>
        <v>296920.49000000005</v>
      </c>
    </row>
    <row r="26" spans="1:24" ht="13.5" customHeight="1" thickBot="1">
      <c r="A26" s="35" t="s">
        <v>55</v>
      </c>
      <c r="B26" s="30" t="s">
        <v>9</v>
      </c>
      <c r="C26" s="56">
        <v>150526.62</v>
      </c>
      <c r="D26" s="39">
        <v>285781.4</v>
      </c>
      <c r="E26" s="39">
        <v>360728.86</v>
      </c>
      <c r="F26" s="39">
        <v>380682.11</v>
      </c>
      <c r="G26" s="56">
        <v>389549.04</v>
      </c>
      <c r="H26" s="39">
        <v>435534.55</v>
      </c>
      <c r="I26" s="39">
        <v>416567.34</v>
      </c>
      <c r="J26" s="39">
        <v>433071.89</v>
      </c>
      <c r="K26" s="9">
        <f>70522.82-30929.51</f>
        <v>39593.31000000001</v>
      </c>
      <c r="L26" s="10">
        <f>77867.38-38101.81</f>
        <v>39765.57000000001</v>
      </c>
      <c r="M26" s="10">
        <f>88975.83-49507.94</f>
        <v>39467.89</v>
      </c>
      <c r="N26" s="10">
        <f>75004-37840.86</f>
        <v>37163.14</v>
      </c>
      <c r="O26" s="10">
        <f>60838.52-36552.83+12817.8</f>
        <v>37103.48999999999</v>
      </c>
      <c r="P26" s="10">
        <f>69766.42-33855.93</f>
        <v>35910.49</v>
      </c>
      <c r="Q26" s="10">
        <f>68902.45-19024.38-12084</f>
        <v>37794.06999999999</v>
      </c>
      <c r="R26" s="10">
        <f>61264.02-24885.62</f>
        <v>36378.399999999994</v>
      </c>
      <c r="S26" s="10">
        <f>64408.39-30525.5</f>
        <v>33882.89</v>
      </c>
      <c r="T26" s="10">
        <f>80068.57-44564.85</f>
        <v>35503.72000000001</v>
      </c>
      <c r="U26" s="10">
        <f>64393.46-26935.75</f>
        <v>37457.71</v>
      </c>
      <c r="V26" s="17">
        <f>65974.63-26397.86+0.05</f>
        <v>39576.82000000001</v>
      </c>
      <c r="W26" s="50">
        <f t="shared" si="5"/>
        <v>449597.50000000006</v>
      </c>
      <c r="X26" s="74">
        <f t="shared" si="4"/>
        <v>3302039.31</v>
      </c>
    </row>
    <row r="27" spans="1:24" ht="13.5" customHeight="1" thickBot="1">
      <c r="A27" s="35" t="s">
        <v>56</v>
      </c>
      <c r="B27" s="31" t="s">
        <v>3</v>
      </c>
      <c r="C27" s="57">
        <v>24180.47</v>
      </c>
      <c r="D27" s="40">
        <v>48804.34</v>
      </c>
      <c r="E27" s="40">
        <v>32078.6</v>
      </c>
      <c r="F27" s="40">
        <v>28959.19</v>
      </c>
      <c r="G27" s="57">
        <v>31495.43</v>
      </c>
      <c r="H27" s="40">
        <v>28418.4</v>
      </c>
      <c r="I27" s="40">
        <v>28568.59</v>
      </c>
      <c r="J27" s="40">
        <v>31101.06</v>
      </c>
      <c r="K27" s="11">
        <f>292.3+2362.43</f>
        <v>2654.73</v>
      </c>
      <c r="L27" s="12">
        <f>294.39+2382.5</f>
        <v>2676.89</v>
      </c>
      <c r="M27" s="12">
        <f>305.34+2468.03</f>
        <v>2773.3700000000003</v>
      </c>
      <c r="N27" s="12">
        <f>282.86+2419.05</f>
        <v>2701.9100000000003</v>
      </c>
      <c r="O27" s="12">
        <f>306.42+2662.45</f>
        <v>2968.87</v>
      </c>
      <c r="P27" s="12">
        <f>289.5+2368.36</f>
        <v>2657.86</v>
      </c>
      <c r="Q27" s="12">
        <f>313.63+2573</f>
        <v>2886.63</v>
      </c>
      <c r="R27" s="12">
        <f>289.94+2332.81</f>
        <v>2622.75</v>
      </c>
      <c r="S27" s="12">
        <f>6+95.9+2590.81</f>
        <v>2692.71</v>
      </c>
      <c r="T27" s="12">
        <f>73.68+2395.92</f>
        <v>2469.6</v>
      </c>
      <c r="U27" s="12">
        <f>41.5+67.52+2408.84</f>
        <v>2517.86</v>
      </c>
      <c r="V27" s="18">
        <f>62.63+2251.58</f>
        <v>2314.21</v>
      </c>
      <c r="W27" s="50">
        <f>SUM(K27:V27)</f>
        <v>31937.39</v>
      </c>
      <c r="X27" s="74">
        <f t="shared" si="4"/>
        <v>285543.47</v>
      </c>
    </row>
    <row r="28" spans="1:24" ht="13.5" customHeight="1" thickBot="1">
      <c r="A28" s="35"/>
      <c r="B28" s="37" t="s">
        <v>59</v>
      </c>
      <c r="C28" s="67"/>
      <c r="D28" s="68"/>
      <c r="E28" s="68"/>
      <c r="F28" s="68"/>
      <c r="G28" s="78">
        <f>G8*5%</f>
        <v>42642.506</v>
      </c>
      <c r="H28" s="79">
        <f>H8*5%</f>
        <v>42636.94</v>
      </c>
      <c r="I28" s="79">
        <f>I8*5%</f>
        <v>42627.556000000004</v>
      </c>
      <c r="J28" s="79">
        <f>J8*5%</f>
        <v>38438.612</v>
      </c>
      <c r="K28" s="69">
        <f>SUM(K8+K9+K10)*5%</f>
        <v>3988.8800000000006</v>
      </c>
      <c r="L28" s="69">
        <f aca="true" t="shared" si="6" ref="L28:V28">SUM(L8+L9+L10)*5%</f>
        <v>3988.8800000000006</v>
      </c>
      <c r="M28" s="69">
        <f t="shared" si="6"/>
        <v>3988.8800000000006</v>
      </c>
      <c r="N28" s="69">
        <f t="shared" si="6"/>
        <v>3988.8800000000006</v>
      </c>
      <c r="O28" s="69">
        <f t="shared" si="6"/>
        <v>3988.8800000000006</v>
      </c>
      <c r="P28" s="69">
        <f t="shared" si="6"/>
        <v>3988.8800000000006</v>
      </c>
      <c r="Q28" s="69">
        <f t="shared" si="6"/>
        <v>4008.179</v>
      </c>
      <c r="R28" s="69">
        <f t="shared" si="6"/>
        <v>3682.632</v>
      </c>
      <c r="S28" s="69">
        <f t="shared" si="6"/>
        <v>3682.662</v>
      </c>
      <c r="T28" s="69">
        <f t="shared" si="6"/>
        <v>3682.662</v>
      </c>
      <c r="U28" s="69">
        <f t="shared" si="6"/>
        <v>3682.662</v>
      </c>
      <c r="V28" s="69">
        <f t="shared" si="6"/>
        <v>3682.662</v>
      </c>
      <c r="W28" s="70">
        <f>SUM(K28:V28)</f>
        <v>46354.738999999994</v>
      </c>
      <c r="X28" s="75"/>
    </row>
    <row r="29" spans="1:24" ht="13.5" customHeight="1" thickBot="1">
      <c r="A29" s="35" t="s">
        <v>38</v>
      </c>
      <c r="B29" s="51" t="s">
        <v>48</v>
      </c>
      <c r="C29" s="58"/>
      <c r="D29" s="52"/>
      <c r="E29" s="52"/>
      <c r="F29" s="52"/>
      <c r="G29" s="58"/>
      <c r="H29" s="52"/>
      <c r="I29" s="52"/>
      <c r="J29" s="81">
        <f aca="true" t="shared" si="7" ref="J29:V29">SUM(J8+J9+J10-J11)-J28</f>
        <v>61067.48800000009</v>
      </c>
      <c r="K29" s="71">
        <f t="shared" si="7"/>
        <v>5265.899999999998</v>
      </c>
      <c r="L29" s="71">
        <f t="shared" si="7"/>
        <v>-2078.660000000014</v>
      </c>
      <c r="M29" s="71">
        <f t="shared" si="7"/>
        <v>-13187.109999999997</v>
      </c>
      <c r="N29" s="71">
        <f t="shared" si="7"/>
        <v>784.7200000000053</v>
      </c>
      <c r="O29" s="71">
        <f t="shared" si="7"/>
        <v>2132.400000000013</v>
      </c>
      <c r="P29" s="71">
        <f t="shared" si="7"/>
        <v>6022.300000000007</v>
      </c>
      <c r="Q29" s="71">
        <f t="shared" si="7"/>
        <v>7252.951000000005</v>
      </c>
      <c r="R29" s="71">
        <f t="shared" si="7"/>
        <v>8705.988000000003</v>
      </c>
      <c r="S29" s="71">
        <f t="shared" si="7"/>
        <v>5562.187999999984</v>
      </c>
      <c r="T29" s="71">
        <f t="shared" si="7"/>
        <v>-10097.992000000017</v>
      </c>
      <c r="U29" s="71">
        <f t="shared" si="7"/>
        <v>5577.117999999991</v>
      </c>
      <c r="V29" s="71">
        <f t="shared" si="7"/>
        <v>3995.8979999999833</v>
      </c>
      <c r="W29" s="70">
        <f>SUM(K29:V29)</f>
        <v>19935.70099999996</v>
      </c>
      <c r="X29" s="75"/>
    </row>
    <row r="30" spans="1:24" ht="27" customHeight="1" thickBot="1">
      <c r="A30" s="35" t="s">
        <v>39</v>
      </c>
      <c r="B30" s="94" t="s">
        <v>23</v>
      </c>
      <c r="C30" s="95">
        <v>88824.07</v>
      </c>
      <c r="D30" s="85">
        <f>SUM(D8-D11)</f>
        <v>-12649.670000000042</v>
      </c>
      <c r="E30" s="85">
        <f>SUM(E8-E11)</f>
        <v>60041.580000000075</v>
      </c>
      <c r="F30" s="85">
        <f>SUM(F8-F11)</f>
        <v>-204952.44000000006</v>
      </c>
      <c r="G30" s="96">
        <f>SUM(G8-G11)-G28</f>
        <v>96284.80399999995</v>
      </c>
      <c r="H30" s="90">
        <f>SUM(H8-H11)-H28</f>
        <v>43393.330000000016</v>
      </c>
      <c r="I30" s="90">
        <f>SUM(I8-I11)-I28</f>
        <v>95509.074</v>
      </c>
      <c r="J30" s="90">
        <f>SUM(J8+J9+J10-J11)-J28</f>
        <v>61067.48800000009</v>
      </c>
      <c r="K30" s="97">
        <f>SUM(K8+K9+K10-K11)-K28</f>
        <v>5265.899999999998</v>
      </c>
      <c r="L30" s="98">
        <f>SUM(L29+K30)</f>
        <v>3187.239999999984</v>
      </c>
      <c r="M30" s="98">
        <f aca="true" t="shared" si="8" ref="M30:V30">SUM(M29+L30)</f>
        <v>-9999.870000000014</v>
      </c>
      <c r="N30" s="98">
        <f t="shared" si="8"/>
        <v>-9215.150000000009</v>
      </c>
      <c r="O30" s="98">
        <f t="shared" si="8"/>
        <v>-7082.749999999996</v>
      </c>
      <c r="P30" s="98">
        <f t="shared" si="8"/>
        <v>-1060.4499999999898</v>
      </c>
      <c r="Q30" s="98">
        <f t="shared" si="8"/>
        <v>6192.501000000015</v>
      </c>
      <c r="R30" s="98">
        <f t="shared" si="8"/>
        <v>14898.489000000018</v>
      </c>
      <c r="S30" s="98">
        <f t="shared" si="8"/>
        <v>20460.677000000003</v>
      </c>
      <c r="T30" s="98">
        <f t="shared" si="8"/>
        <v>10362.684999999987</v>
      </c>
      <c r="U30" s="98">
        <f t="shared" si="8"/>
        <v>15939.802999999978</v>
      </c>
      <c r="V30" s="98">
        <f t="shared" si="8"/>
        <v>19935.70099999996</v>
      </c>
      <c r="W30" s="85"/>
      <c r="X30" s="99"/>
    </row>
    <row r="31" spans="1:24" ht="21" customHeight="1" hidden="1" thickBot="1">
      <c r="A31" s="35" t="s">
        <v>40</v>
      </c>
      <c r="B31" s="37" t="s">
        <v>24</v>
      </c>
      <c r="C31" s="53">
        <v>88824.07</v>
      </c>
      <c r="D31" s="47">
        <f>SUM(D8-D11,C31)</f>
        <v>76174.39999999997</v>
      </c>
      <c r="E31" s="47">
        <f>SUM(E8-E11,D31)</f>
        <v>136215.98000000004</v>
      </c>
      <c r="F31" s="47">
        <f>SUM(F8-F11,E31)</f>
        <v>-68736.46000000002</v>
      </c>
      <c r="G31" s="78">
        <f>SUM(G30+F31)</f>
        <v>27548.343999999925</v>
      </c>
      <c r="H31" s="79">
        <f>SUM(H30+G31)</f>
        <v>70941.67399999994</v>
      </c>
      <c r="I31" s="79">
        <f>SUM(I30+H31)</f>
        <v>166450.74799999993</v>
      </c>
      <c r="J31" s="79">
        <f>SUM(J30+I31)</f>
        <v>227518.23600000003</v>
      </c>
      <c r="K31" s="79">
        <f>SUM(K30+J31)</f>
        <v>232784.13600000003</v>
      </c>
      <c r="L31" s="72">
        <f>SUM(L29+K31)</f>
        <v>230705.47600000002</v>
      </c>
      <c r="M31" s="72">
        <f aca="true" t="shared" si="9" ref="M31:U31">SUM(M29+L31)</f>
        <v>217518.36600000004</v>
      </c>
      <c r="N31" s="72">
        <f t="shared" si="9"/>
        <v>218303.08600000004</v>
      </c>
      <c r="O31" s="72">
        <f t="shared" si="9"/>
        <v>220435.48600000006</v>
      </c>
      <c r="P31" s="72">
        <f t="shared" si="9"/>
        <v>226457.78600000008</v>
      </c>
      <c r="Q31" s="72">
        <f t="shared" si="9"/>
        <v>233710.73700000008</v>
      </c>
      <c r="R31" s="72">
        <f t="shared" si="9"/>
        <v>242416.7250000001</v>
      </c>
      <c r="S31" s="72">
        <f t="shared" si="9"/>
        <v>247978.9130000001</v>
      </c>
      <c r="T31" s="72">
        <f t="shared" si="9"/>
        <v>237880.92100000006</v>
      </c>
      <c r="U31" s="72">
        <f t="shared" si="9"/>
        <v>243458.03900000005</v>
      </c>
      <c r="V31" s="72">
        <f>SUM(V29+U31)</f>
        <v>247453.93700000003</v>
      </c>
      <c r="W31" s="47"/>
      <c r="X31" s="42"/>
    </row>
    <row r="32" spans="1:24" ht="8.25" customHeight="1" hidden="1" thickBot="1">
      <c r="A32" s="35" t="s">
        <v>40</v>
      </c>
      <c r="B32" s="37" t="s">
        <v>7</v>
      </c>
      <c r="C32" s="59"/>
      <c r="D32" s="61"/>
      <c r="E32" s="65"/>
      <c r="F32" s="65"/>
      <c r="G32" s="65"/>
      <c r="H32" s="65"/>
      <c r="I32" s="65"/>
      <c r="J32" s="65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9"/>
      <c r="W32" s="48"/>
      <c r="X32" s="43"/>
    </row>
    <row r="33" spans="1:24" ht="15" customHeight="1" hidden="1" thickBot="1">
      <c r="A33" s="35" t="s">
        <v>41</v>
      </c>
      <c r="B33" s="32" t="s">
        <v>25</v>
      </c>
      <c r="C33" s="59"/>
      <c r="D33" s="61"/>
      <c r="E33" s="65"/>
      <c r="F33" s="65"/>
      <c r="G33" s="65"/>
      <c r="H33" s="65"/>
      <c r="I33" s="65"/>
      <c r="J33" s="65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9"/>
      <c r="W33" s="47"/>
      <c r="X33" s="44"/>
    </row>
    <row r="34" spans="1:24" ht="24" customHeight="1" hidden="1" thickBot="1">
      <c r="A34" s="36" t="s">
        <v>42</v>
      </c>
      <c r="B34" s="33" t="s">
        <v>45</v>
      </c>
      <c r="C34" s="60"/>
      <c r="D34" s="62"/>
      <c r="E34" s="66"/>
      <c r="F34" s="66"/>
      <c r="G34" s="66"/>
      <c r="H34" s="66"/>
      <c r="I34" s="66"/>
      <c r="J34" s="66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>
        <f>SUM(V30-V32)</f>
        <v>19935.70099999996</v>
      </c>
      <c r="W34" s="49"/>
      <c r="X34" s="45"/>
    </row>
    <row r="35" spans="1:24" ht="24" customHeight="1" hidden="1" thickBot="1">
      <c r="A35" s="36" t="s">
        <v>44</v>
      </c>
      <c r="B35" s="33" t="s">
        <v>26</v>
      </c>
      <c r="C35" s="60"/>
      <c r="D35" s="62"/>
      <c r="E35" s="66"/>
      <c r="F35" s="66"/>
      <c r="G35" s="66"/>
      <c r="H35" s="66"/>
      <c r="I35" s="66"/>
      <c r="J35" s="6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>
        <f>SUM(V31-V32)</f>
        <v>247453.93700000003</v>
      </c>
      <c r="W35" s="49"/>
      <c r="X35" s="45"/>
    </row>
    <row r="36" spans="3:24" ht="24" customHeight="1" hidden="1"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ht="12.75" hidden="1"/>
    <row r="38" ht="12.75" hidden="1"/>
    <row r="39" ht="12.75" hidden="1"/>
    <row r="40" ht="12.75" hidden="1"/>
    <row r="41" ht="12.75">
      <c r="B41" t="s">
        <v>66</v>
      </c>
    </row>
    <row r="45" ht="12.75" customHeight="1"/>
    <row r="46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2019-02-11T12:08:20Z</cp:lastPrinted>
  <dcterms:created xsi:type="dcterms:W3CDTF">2011-06-16T11:06:26Z</dcterms:created>
  <dcterms:modified xsi:type="dcterms:W3CDTF">2019-02-14T05:36:07Z</dcterms:modified>
  <cp:category/>
  <cp:version/>
  <cp:contentType/>
  <cp:contentStatus/>
</cp:coreProperties>
</file>