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<sst xmlns="http://schemas.openxmlformats.org/spreadsheetml/2006/main" count="78" uniqueCount="78">
  <si>
    <t>СПРАВКА</t>
  </si>
  <si>
    <t xml:space="preserve">Начислено  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</si>
  <si>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</si>
  <si>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</si>
  <si>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</si>
  <si>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</si>
  <si>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</si>
  <si>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</si>
  <si>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</si>
  <si>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</si>
  <si>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</si>
  <si>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</si>
  <si>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</si>
  <si>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</si>
  <si>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</si>
  <si>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</si>
  <si>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</si>
  <si>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</si>
  <si>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</si>
  <si>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</si>
  <si>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</si>
  <si>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</si>
  <si>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</si>
  <si>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</si>
  <si>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</si>
  <si>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</si>
  <si>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</si>
  <si>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</si>
  <si>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</si>
  <si>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4</t>
  </si>
  <si>
    <t>4.1</t>
  </si>
  <si>
    <t>4.2</t>
  </si>
  <si>
    <t>4.3</t>
  </si>
  <si>
    <t>4.5</t>
  </si>
  <si>
    <t>4.7</t>
  </si>
  <si>
    <t>4.8</t>
  </si>
  <si>
    <t>4.9</t>
  </si>
  <si>
    <t>4.11</t>
  </si>
  <si>
    <t>6</t>
  </si>
  <si>
    <t>7</t>
  </si>
  <si>
    <t>8</t>
  </si>
  <si>
    <t>9</t>
  </si>
  <si>
    <t>10</t>
  </si>
  <si>
    <t>Финансовый результат по дому с начала года</t>
  </si>
  <si>
    <t>11</t>
  </si>
  <si>
    <t>Результат за месяц</t>
  </si>
  <si>
    <t>4,12</t>
  </si>
  <si>
    <t>4.13</t>
  </si>
  <si>
    <t xml:space="preserve">Материалы </t>
  </si>
  <si>
    <t>4.14</t>
  </si>
  <si>
    <t>5</t>
  </si>
  <si>
    <t>4.15</t>
  </si>
  <si>
    <t>рентабельность 5%</t>
  </si>
  <si>
    <t>Итого за 2015</t>
  </si>
  <si>
    <t>Услуги сторонних орган.</t>
  </si>
  <si>
    <t>Дом по ул. Совхозная  д. 93 вступил в ООО "Наш дом" с мая 2015 года                      тариф 11,2 руб</t>
  </si>
  <si>
    <t>по жилому дому г. Унеча ул. Совхозная  д.93</t>
  </si>
  <si>
    <t>4.4</t>
  </si>
  <si>
    <t>Проверка вент.каналов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</si>
  <si>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</si>
  <si>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</si>
  <si>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октябрь</t>
  </si>
  <si>
    <t>Исполнитель  вед. экономист /Викторова Л.С/</t>
  </si>
  <si>
    <t>Итого за 2016</t>
  </si>
  <si>
    <t>50155,78</t>
  </si>
  <si>
    <t>77505,65</t>
  </si>
  <si>
    <t>Начислено   СОИД</t>
  </si>
  <si>
    <t>Начислено  нежилые</t>
  </si>
  <si>
    <t>Электроэнергия СОИД</t>
  </si>
  <si>
    <t>Горячая вода СОИД</t>
  </si>
  <si>
    <t>Холодная вода СОИД</t>
  </si>
  <si>
    <t>Канализация СОИД</t>
  </si>
  <si>
    <t>Транспортные(ГСМ,зап.части,амортизация,страхован.)</t>
  </si>
  <si>
    <t>Благоустр  территории</t>
  </si>
  <si>
    <t>Итого за 2017</t>
  </si>
  <si>
    <t>84087,79</t>
  </si>
  <si>
    <t>Итого за 2018</t>
  </si>
  <si>
    <t>Всего за 2015-2018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</si>
</sst>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9"/>
      <color indexed="10"/>
      <name val="Arial Cyr"/>
      <family val="0"/>
    </font>
    <font>
      <i/>
      <sz val="8"/>
      <name val="Arial Cyr"/>
      <family val="0"/>
    </font>
    <font>
      <b/>
      <sz val="8"/>
      <name val="Arial Cyr"/>
      <family val="0"/>
    </font>
    <font>
      <b/>
      <sz val="9"/>
      <color indexed="10"/>
      <name val="Arial Cyr"/>
      <family val="0"/>
    </font>
    <font>
      <b/>
      <sz val="9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95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5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wrapText="1"/>
    </xf>
    <xf numFmtId="0" fontId="21" fillId="0" borderId="28" xfId="0" applyFont="1" applyBorder="1" applyAlignment="1">
      <alignment horizontal="left" wrapText="1"/>
    </xf>
    <xf numFmtId="49" fontId="21" fillId="0" borderId="27" xfId="0" applyNumberFormat="1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29" xfId="0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2" borderId="30" xfId="0" applyFont="1" applyFill="1" applyBorder="1" applyAlignment="1">
      <alignment wrapText="1"/>
    </xf>
    <xf numFmtId="49" fontId="0" fillId="0" borderId="31" xfId="0" applyNumberFormat="1" applyBorder="1" applyAlignment="1">
      <alignment horizontal="center"/>
    </xf>
    <xf numFmtId="49" fontId="0" fillId="0" borderId="32" xfId="0" applyNumberFormat="1" applyBorder="1" applyAlignment="1">
      <alignment horizontal="center"/>
    </xf>
    <xf numFmtId="49" fontId="0" fillId="0" borderId="33" xfId="0" applyNumberFormat="1" applyBorder="1" applyAlignment="1">
      <alignment horizontal="center"/>
    </xf>
    <xf numFmtId="0" fontId="21" fillId="0" borderId="34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49" fontId="0" fillId="0" borderId="35" xfId="0" applyNumberFormat="1" applyBorder="1" applyAlignment="1">
      <alignment horizontal="center"/>
    </xf>
    <xf numFmtId="0" fontId="23" fillId="0" borderId="26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26" xfId="0" applyBorder="1" applyAlignment="1">
      <alignment/>
    </xf>
    <xf numFmtId="0" fontId="0" fillId="2" borderId="26" xfId="0" applyFill="1" applyBorder="1" applyAlignment="1">
      <alignment/>
    </xf>
    <xf numFmtId="0" fontId="19" fillId="0" borderId="34" xfId="0" applyFont="1" applyBorder="1" applyAlignment="1">
      <alignment horizontal="center" vertical="center" wrapText="1"/>
    </xf>
    <xf numFmtId="0" fontId="21" fillId="0" borderId="34" xfId="0" applyFont="1" applyBorder="1" applyAlignment="1">
      <alignment/>
    </xf>
    <xf numFmtId="0" fontId="21" fillId="0" borderId="35" xfId="0" applyFont="1" applyBorder="1" applyAlignment="1">
      <alignment/>
    </xf>
    <xf numFmtId="0" fontId="20" fillId="2" borderId="35" xfId="0" applyFont="1" applyFill="1" applyBorder="1" applyAlignment="1">
      <alignment/>
    </xf>
    <xf numFmtId="0" fontId="21" fillId="0" borderId="31" xfId="0" applyFont="1" applyBorder="1" applyAlignment="1">
      <alignment/>
    </xf>
    <xf numFmtId="0" fontId="21" fillId="0" borderId="36" xfId="0" applyFont="1" applyBorder="1" applyAlignment="1">
      <alignment wrapText="1"/>
    </xf>
    <xf numFmtId="2" fontId="21" fillId="0" borderId="26" xfId="0" applyNumberFormat="1" applyFont="1" applyBorder="1" applyAlignment="1">
      <alignment/>
    </xf>
    <xf numFmtId="2" fontId="21" fillId="0" borderId="34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5" fillId="0" borderId="31" xfId="0" applyFont="1" applyBorder="1" applyAlignment="1">
      <alignment/>
    </xf>
    <xf numFmtId="2" fontId="25" fillId="0" borderId="38" xfId="0" applyNumberFormat="1" applyFont="1" applyBorder="1" applyAlignment="1">
      <alignment/>
    </xf>
    <xf numFmtId="0" fontId="25" fillId="0" borderId="26" xfId="0" applyFont="1" applyBorder="1" applyAlignment="1">
      <alignment/>
    </xf>
    <xf numFmtId="0" fontId="21" fillId="0" borderId="25" xfId="0" applyFont="1" applyBorder="1" applyAlignment="1">
      <alignment wrapText="1"/>
    </xf>
    <xf numFmtId="0" fontId="21" fillId="2" borderId="25" xfId="0" applyFont="1" applyFill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33" xfId="0" applyFont="1" applyBorder="1" applyAlignment="1">
      <alignment wrapText="1"/>
    </xf>
    <xf numFmtId="0" fontId="21" fillId="0" borderId="39" xfId="0" applyFont="1" applyBorder="1" applyAlignment="1">
      <alignment wrapText="1"/>
    </xf>
    <xf numFmtId="0" fontId="24" fillId="0" borderId="31" xfId="0" applyFont="1" applyBorder="1" applyAlignment="1">
      <alignment wrapText="1"/>
    </xf>
    <xf numFmtId="49" fontId="21" fillId="0" borderId="40" xfId="0" applyNumberFormat="1" applyFont="1" applyBorder="1" applyAlignment="1">
      <alignment horizontal="right" wrapText="1"/>
    </xf>
    <xf numFmtId="0" fontId="21" fillId="0" borderId="32" xfId="0" applyFont="1" applyBorder="1" applyAlignment="1">
      <alignment horizontal="right" wrapText="1"/>
    </xf>
    <xf numFmtId="0" fontId="26" fillId="0" borderId="31" xfId="0" applyFont="1" applyBorder="1" applyAlignment="1">
      <alignment wrapText="1"/>
    </xf>
    <xf numFmtId="0" fontId="24" fillId="0" borderId="40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26" fillId="0" borderId="41" xfId="0" applyFont="1" applyBorder="1" applyAlignment="1">
      <alignment wrapText="1"/>
    </xf>
    <xf numFmtId="0" fontId="26" fillId="0" borderId="42" xfId="0" applyFont="1" applyBorder="1" applyAlignment="1">
      <alignment wrapText="1"/>
    </xf>
    <xf numFmtId="49" fontId="21" fillId="0" borderId="42" xfId="0" applyNumberFormat="1" applyFont="1" applyBorder="1" applyAlignment="1">
      <alignment horizontal="right" wrapText="1"/>
    </xf>
    <xf numFmtId="0" fontId="21" fillId="0" borderId="43" xfId="0" applyFont="1" applyBorder="1" applyAlignment="1">
      <alignment horizontal="right" wrapText="1"/>
    </xf>
    <xf numFmtId="0" fontId="21" fillId="0" borderId="43" xfId="0" applyFont="1" applyBorder="1" applyAlignment="1">
      <alignment wrapText="1"/>
    </xf>
    <xf numFmtId="0" fontId="21" fillId="0" borderId="44" xfId="0" applyFont="1" applyBorder="1" applyAlignment="1">
      <alignment wrapText="1"/>
    </xf>
    <xf numFmtId="2" fontId="21" fillId="0" borderId="45" xfId="0" applyNumberFormat="1" applyFont="1" applyBorder="1" applyAlignment="1">
      <alignment/>
    </xf>
    <xf numFmtId="0" fontId="21" fillId="0" borderId="46" xfId="0" applyFont="1" applyBorder="1" applyAlignment="1">
      <alignment wrapText="1"/>
    </xf>
    <xf numFmtId="2" fontId="21" fillId="0" borderId="47" xfId="0" applyNumberFormat="1" applyFont="1" applyBorder="1" applyAlignment="1">
      <alignment/>
    </xf>
    <xf numFmtId="2" fontId="21" fillId="0" borderId="39" xfId="0" applyNumberFormat="1" applyFont="1" applyBorder="1" applyAlignment="1">
      <alignment/>
    </xf>
    <xf numFmtId="49" fontId="22" fillId="0" borderId="32" xfId="0" applyNumberFormat="1" applyFont="1" applyBorder="1" applyAlignment="1">
      <alignment horizontal="center"/>
    </xf>
    <xf numFmtId="0" fontId="19" fillId="0" borderId="26" xfId="0" applyFont="1" applyBorder="1" applyAlignment="1">
      <alignment wrapText="1"/>
    </xf>
    <xf numFmtId="0" fontId="27" fillId="0" borderId="34" xfId="0" applyFont="1" applyBorder="1" applyAlignment="1">
      <alignment/>
    </xf>
    <xf numFmtId="0" fontId="27" fillId="0" borderId="45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47" xfId="0" applyFont="1" applyBorder="1" applyAlignment="1">
      <alignment/>
    </xf>
    <xf numFmtId="2" fontId="28" fillId="0" borderId="34" xfId="0" applyNumberFormat="1" applyFont="1" applyBorder="1" applyAlignment="1">
      <alignment/>
    </xf>
    <xf numFmtId="0" fontId="22" fillId="0" borderId="0" xfId="0" applyFont="1" applyAlignment="1">
      <alignment/>
    </xf>
    <xf numFmtId="2" fontId="27" fillId="0" borderId="34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7" fillId="0" borderId="34" xfId="0" applyFont="1" applyBorder="1" applyAlignment="1">
      <alignment wrapText="1"/>
    </xf>
    <xf numFmtId="2" fontId="27" fillId="0" borderId="45" xfId="0" applyNumberFormat="1" applyFont="1" applyBorder="1" applyAlignment="1">
      <alignment/>
    </xf>
    <xf numFmtId="2" fontId="27" fillId="0" borderId="11" xfId="0" applyNumberFormat="1" applyFont="1" applyBorder="1" applyAlignment="1">
      <alignment/>
    </xf>
    <xf numFmtId="2" fontId="27" fillId="0" borderId="10" xfId="0" applyNumberFormat="1" applyFont="1" applyBorder="1" applyAlignment="1">
      <alignment/>
    </xf>
    <xf numFmtId="0" fontId="29" fillId="0" borderId="2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tabSelected="1" zoomScalePageLayoutView="0" workbookViewId="0" topLeftCell="B7">
      <selection activeCell="B30" sqref="B30:S30"/>
    </sheetView>
  </sheetViews>
  <sheetFormatPr defaultColWidth="9.00390625" defaultRowHeight="12.75"/>
  <cols>
    <col min="1" max="1" width="3.375" style="24" hidden="1" customWidth="1"/>
    <col min="2" max="2" width="19.875" style="0" customWidth="1"/>
    <col min="3" max="3" width="10.125" style="0" hidden="1" customWidth="1"/>
    <col min="4" max="4" width="0.12890625" style="0" hidden="1" customWidth="1"/>
    <col min="5" max="5" width="8.875" style="0" hidden="1" customWidth="1"/>
    <col min="6" max="6" width="8.375" style="0" customWidth="1"/>
    <col min="7" max="7" width="9.125" style="0" customWidth="1"/>
    <col min="8" max="8" width="8.875" style="0" customWidth="1"/>
    <col min="9" max="9" width="9.125" style="0" customWidth="1"/>
    <col min="10" max="10" width="8.125" style="0" customWidth="1"/>
    <col min="11" max="11" width="8.375" style="0" customWidth="1"/>
    <col min="12" max="12" width="8.875" style="0" customWidth="1"/>
    <col min="13" max="13" width="8.25390625" style="0" customWidth="1"/>
    <col min="14" max="14" width="8.75390625" style="0" customWidth="1"/>
    <col min="15" max="15" width="8.875" style="0" customWidth="1"/>
    <col min="16" max="16" width="8.125" style="0" customWidth="1"/>
    <col min="17" max="17" width="8.625" style="0" customWidth="1"/>
    <col min="18" max="18" width="9.25390625" style="0" customWidth="1"/>
    <col min="19" max="19" width="10.375" style="0" customWidth="1"/>
  </cols>
  <sheetData>
    <row r="1" spans="2:24" ht="12.75" customHeight="1">
      <c r="B1" s="88" t="s">
        <v>9</v>
      </c>
      <c r="C1" s="88"/>
      <c r="D1" s="88"/>
      <c r="E1" s="88"/>
      <c r="F1" s="88"/>
      <c r="G1" s="88"/>
      <c r="H1" s="8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 customHeight="1">
      <c r="B2" s="88" t="s">
        <v>55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/>
      <c r="Q2" s="89"/>
      <c r="R2" s="4"/>
      <c r="S2" s="4"/>
      <c r="T2" s="4"/>
      <c r="U2" s="4"/>
      <c r="V2" s="4"/>
      <c r="W2" s="4"/>
      <c r="X2" s="4"/>
    </row>
    <row r="3" spans="2:24" ht="12.75" customHeight="1"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3"/>
      <c r="U3" s="3"/>
      <c r="V3" s="3"/>
      <c r="W3" s="3"/>
      <c r="X3" s="3"/>
    </row>
    <row r="4" spans="2:24" ht="21.75" customHeight="1">
      <c r="B4" s="86" t="s">
        <v>11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2"/>
      <c r="U4" s="2"/>
      <c r="V4" s="2"/>
      <c r="W4" s="2"/>
      <c r="X4" s="2"/>
    </row>
    <row r="5" spans="2:24" ht="15.75" customHeight="1" thickBot="1">
      <c r="B5" s="86" t="s">
        <v>56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2"/>
      <c r="U5" s="2"/>
      <c r="V5" s="2"/>
      <c r="W5" s="2"/>
      <c r="X5" s="2"/>
    </row>
    <row r="6" spans="2:24" ht="16.5" customHeight="1" hidden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  <c r="U6" s="2"/>
      <c r="V6" s="2"/>
      <c r="W6" s="2"/>
      <c r="X6" s="2"/>
    </row>
    <row r="7" spans="1:24" ht="26.25" customHeight="1" thickBot="1">
      <c r="A7" s="33" t="s">
        <v>27</v>
      </c>
      <c r="B7" s="25" t="s">
        <v>7</v>
      </c>
      <c r="C7" s="43" t="s">
        <v>53</v>
      </c>
      <c r="D7" s="43" t="s">
        <v>63</v>
      </c>
      <c r="E7" s="43" t="s">
        <v>74</v>
      </c>
      <c r="F7" s="6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5" t="s">
        <v>20</v>
      </c>
      <c r="O7" s="5" t="s">
        <v>61</v>
      </c>
      <c r="P7" s="5" t="s">
        <v>22</v>
      </c>
      <c r="Q7" s="15" t="s">
        <v>21</v>
      </c>
      <c r="R7" s="43" t="s">
        <v>76</v>
      </c>
      <c r="S7" s="39" t="s">
        <v>77</v>
      </c>
      <c r="T7" s="1"/>
      <c r="U7" s="1"/>
      <c r="V7" s="1"/>
      <c r="W7" s="1"/>
      <c r="X7" s="1"/>
    </row>
    <row r="8" spans="1:19" ht="13.5" thickBot="1">
      <c r="A8" s="34" t="s">
        <v>28</v>
      </c>
      <c r="B8" s="26" t="s">
        <v>1</v>
      </c>
      <c r="C8" s="61">
        <v>386329.44</v>
      </c>
      <c r="D8" s="67">
        <v>578917.92</v>
      </c>
      <c r="E8" s="64">
        <v>569116.8</v>
      </c>
      <c r="F8" s="7">
        <v>47426.4</v>
      </c>
      <c r="G8" s="7">
        <v>47426.4</v>
      </c>
      <c r="H8" s="7">
        <v>47426.4</v>
      </c>
      <c r="I8" s="7">
        <v>47426.4</v>
      </c>
      <c r="J8" s="7">
        <v>47426.4</v>
      </c>
      <c r="K8" s="7">
        <v>47426.4</v>
      </c>
      <c r="L8" s="8">
        <v>47426.4</v>
      </c>
      <c r="M8" s="8">
        <v>47426.4</v>
      </c>
      <c r="N8" s="8">
        <v>47426.4</v>
      </c>
      <c r="O8" s="8">
        <v>47426.4</v>
      </c>
      <c r="P8" s="8">
        <v>47426.4</v>
      </c>
      <c r="Q8" s="8">
        <v>47414.08</v>
      </c>
      <c r="R8" s="47">
        <f>SUM(F8:Q8)</f>
        <v>569104.4800000001</v>
      </c>
      <c r="S8" s="53">
        <f>SUM(C8:Q8)</f>
        <v>2103468.639999999</v>
      </c>
    </row>
    <row r="9" spans="1:19" ht="13.5" thickBot="1">
      <c r="A9" s="34"/>
      <c r="B9" s="26" t="s">
        <v>66</v>
      </c>
      <c r="C9" s="65"/>
      <c r="D9" s="68"/>
      <c r="E9" s="66">
        <v>78632.93</v>
      </c>
      <c r="F9" s="7">
        <f aca="true" t="shared" si="0" ref="F9:K9">5931.06+169.71+246.81+755.58</f>
        <v>7103.160000000001</v>
      </c>
      <c r="G9" s="7">
        <f t="shared" si="0"/>
        <v>7103.160000000001</v>
      </c>
      <c r="H9" s="7">
        <f t="shared" si="0"/>
        <v>7103.160000000001</v>
      </c>
      <c r="I9" s="7">
        <f t="shared" si="0"/>
        <v>7103.160000000001</v>
      </c>
      <c r="J9" s="7">
        <f t="shared" si="0"/>
        <v>7103.160000000001</v>
      </c>
      <c r="K9" s="7">
        <f t="shared" si="0"/>
        <v>7103.160000000001</v>
      </c>
      <c r="L9" s="8">
        <f>6225.13+170.75+248.9+780.2</f>
        <v>7424.98</v>
      </c>
      <c r="M9" s="8">
        <f>170.75+248.9+780.2</f>
        <v>1199.85</v>
      </c>
      <c r="N9" s="8">
        <f>170.75+248.9+780.2</f>
        <v>1199.85</v>
      </c>
      <c r="O9" s="8">
        <f>170.75+248.9+780.2</f>
        <v>1199.85</v>
      </c>
      <c r="P9" s="8">
        <f>170.75+248.9+780.2</f>
        <v>1199.85</v>
      </c>
      <c r="Q9" s="8">
        <f>170.75+248.9+780.2</f>
        <v>1199.85</v>
      </c>
      <c r="R9" s="47">
        <f>SUM(F9:Q9)</f>
        <v>56043.189999999995</v>
      </c>
      <c r="S9" s="53">
        <f>SUM(C9:Q9)</f>
        <v>134676.12000000002</v>
      </c>
    </row>
    <row r="10" spans="1:19" ht="13.5" thickBot="1">
      <c r="A10" s="34"/>
      <c r="B10" s="26" t="s">
        <v>67</v>
      </c>
      <c r="C10" s="65"/>
      <c r="D10" s="68"/>
      <c r="E10" s="66">
        <v>10662.07</v>
      </c>
      <c r="F10" s="7">
        <v>915.35</v>
      </c>
      <c r="G10" s="7">
        <v>915.35</v>
      </c>
      <c r="H10" s="7">
        <v>915.35</v>
      </c>
      <c r="I10" s="7">
        <v>915.35</v>
      </c>
      <c r="J10" s="7">
        <v>915.47</v>
      </c>
      <c r="K10" s="7">
        <v>915.47</v>
      </c>
      <c r="L10" s="8">
        <v>920.88</v>
      </c>
      <c r="M10" s="8">
        <v>920.88</v>
      </c>
      <c r="N10" s="8">
        <v>920.88</v>
      </c>
      <c r="O10" s="8">
        <v>920.88</v>
      </c>
      <c r="P10" s="8">
        <v>920.88</v>
      </c>
      <c r="Q10" s="8">
        <v>920.88</v>
      </c>
      <c r="R10" s="47">
        <f>SUM(F10:Q10)</f>
        <v>11017.619999999997</v>
      </c>
      <c r="S10" s="53">
        <f>SUM(C10:Q10)</f>
        <v>21679.690000000006</v>
      </c>
    </row>
    <row r="11" spans="1:19" s="84" customFormat="1" ht="13.5" thickBot="1">
      <c r="A11" s="77" t="s">
        <v>29</v>
      </c>
      <c r="B11" s="78" t="s">
        <v>2</v>
      </c>
      <c r="C11" s="79">
        <v>316538.34</v>
      </c>
      <c r="D11" s="80">
        <v>414803.55</v>
      </c>
      <c r="E11" s="79">
        <v>566366.88</v>
      </c>
      <c r="F11" s="81">
        <f>SUM(F12:F27)</f>
        <v>44405.450000000004</v>
      </c>
      <c r="G11" s="81">
        <f aca="true" t="shared" si="1" ref="G11:Q11">SUM(G12:G27)</f>
        <v>49509.780000000006</v>
      </c>
      <c r="H11" s="81">
        <f t="shared" si="1"/>
        <v>51639.83999999999</v>
      </c>
      <c r="I11" s="81">
        <f t="shared" si="1"/>
        <v>54906.48</v>
      </c>
      <c r="J11" s="81">
        <f t="shared" si="1"/>
        <v>58651.96000000001</v>
      </c>
      <c r="K11" s="81">
        <f t="shared" si="1"/>
        <v>48386.43</v>
      </c>
      <c r="L11" s="81">
        <f t="shared" si="1"/>
        <v>57042.26</v>
      </c>
      <c r="M11" s="81">
        <f t="shared" si="1"/>
        <v>37717.09</v>
      </c>
      <c r="N11" s="81">
        <f t="shared" si="1"/>
        <v>35426.18</v>
      </c>
      <c r="O11" s="81">
        <f t="shared" si="1"/>
        <v>61046.12000000001</v>
      </c>
      <c r="P11" s="81">
        <f t="shared" si="1"/>
        <v>39550.99</v>
      </c>
      <c r="Q11" s="82">
        <f t="shared" si="1"/>
        <v>41174.95</v>
      </c>
      <c r="R11" s="79">
        <f>SUM(F11:Q11)</f>
        <v>579457.53</v>
      </c>
      <c r="S11" s="83">
        <f>SUM(F11:Q11)</f>
        <v>579457.53</v>
      </c>
    </row>
    <row r="12" spans="1:19" ht="11.25" customHeight="1" thickBot="1">
      <c r="A12" s="34" t="s">
        <v>30</v>
      </c>
      <c r="B12" s="28" t="s">
        <v>4</v>
      </c>
      <c r="C12" s="62" t="s">
        <v>64</v>
      </c>
      <c r="D12" s="69" t="s">
        <v>65</v>
      </c>
      <c r="E12" s="62" t="s">
        <v>75</v>
      </c>
      <c r="F12" s="7">
        <f>6731+264.64</f>
        <v>6995.64</v>
      </c>
      <c r="G12" s="8">
        <f>6731+290.3</f>
        <v>7021.3</v>
      </c>
      <c r="H12" s="8">
        <f>6731+206.15</f>
        <v>6937.15</v>
      </c>
      <c r="I12" s="8">
        <f>6731+576.57</f>
        <v>7307.57</v>
      </c>
      <c r="J12" s="8">
        <f>6254+538.71</f>
        <v>6792.71</v>
      </c>
      <c r="K12" s="8">
        <f>6731+553.31</f>
        <v>7284.3099999999995</v>
      </c>
      <c r="L12" s="8">
        <f>6678+468.72</f>
        <v>7146.72</v>
      </c>
      <c r="M12" s="8">
        <f>6678+592.61</f>
        <v>7270.61</v>
      </c>
      <c r="N12" s="8">
        <f>6466+427.64</f>
        <v>6893.64</v>
      </c>
      <c r="O12" s="8">
        <f>6413+344.38</f>
        <v>6757.38</v>
      </c>
      <c r="P12" s="8">
        <f>6519+405.83</f>
        <v>6924.83</v>
      </c>
      <c r="Q12" s="16">
        <f>6466+370.24</f>
        <v>6836.24</v>
      </c>
      <c r="R12" s="44">
        <f aca="true" t="shared" si="2" ref="R12:R29">SUM(F12:Q12)</f>
        <v>84168.1</v>
      </c>
      <c r="S12" s="53">
        <f aca="true" t="shared" si="3" ref="S12:S27">SUM(C12:Q12)</f>
        <v>84168.1</v>
      </c>
    </row>
    <row r="13" spans="1:19" ht="14.25" customHeight="1" thickBot="1">
      <c r="A13" s="34" t="s">
        <v>31</v>
      </c>
      <c r="B13" s="29" t="s">
        <v>54</v>
      </c>
      <c r="C13" s="63">
        <v>3536.31</v>
      </c>
      <c r="D13" s="70">
        <v>3203.19</v>
      </c>
      <c r="E13" s="63">
        <v>12777.02</v>
      </c>
      <c r="F13" s="9"/>
      <c r="G13" s="10">
        <v>480</v>
      </c>
      <c r="H13" s="10"/>
      <c r="I13" s="10">
        <v>2300.89</v>
      </c>
      <c r="J13" s="10">
        <v>2000</v>
      </c>
      <c r="K13" s="10">
        <v>4500</v>
      </c>
      <c r="L13" s="10"/>
      <c r="M13" s="10"/>
      <c r="N13" s="10"/>
      <c r="O13" s="10"/>
      <c r="P13" s="10"/>
      <c r="Q13" s="17"/>
      <c r="R13" s="44">
        <f>SUM(F13:Q13)</f>
        <v>9280.89</v>
      </c>
      <c r="S13" s="53">
        <f t="shared" si="3"/>
        <v>28797.41</v>
      </c>
    </row>
    <row r="14" spans="1:19" ht="20.25" customHeight="1" thickBot="1">
      <c r="A14" s="34" t="s">
        <v>32</v>
      </c>
      <c r="B14" s="27" t="s">
        <v>5</v>
      </c>
      <c r="C14" s="63">
        <v>0</v>
      </c>
      <c r="D14" s="70">
        <v>0</v>
      </c>
      <c r="E14" s="63">
        <v>21553.7</v>
      </c>
      <c r="F14" s="9"/>
      <c r="G14" s="10"/>
      <c r="H14" s="10"/>
      <c r="I14" s="10"/>
      <c r="J14" s="10"/>
      <c r="K14" s="10"/>
      <c r="L14" s="10"/>
      <c r="M14" s="10"/>
      <c r="N14" s="10"/>
      <c r="O14" s="10">
        <v>23956.11</v>
      </c>
      <c r="P14" s="10"/>
      <c r="Q14" s="17"/>
      <c r="R14" s="44">
        <f t="shared" si="2"/>
        <v>23956.11</v>
      </c>
      <c r="S14" s="53">
        <f t="shared" si="3"/>
        <v>45509.81</v>
      </c>
    </row>
    <row r="15" spans="1:19" ht="14.25" customHeight="1" thickBot="1">
      <c r="A15" s="34" t="s">
        <v>57</v>
      </c>
      <c r="B15" s="27" t="s">
        <v>58</v>
      </c>
      <c r="C15" s="63">
        <v>10000</v>
      </c>
      <c r="D15" s="70">
        <v>-5000</v>
      </c>
      <c r="E15" s="63">
        <v>2200</v>
      </c>
      <c r="F15" s="9"/>
      <c r="G15" s="10"/>
      <c r="H15" s="10">
        <v>2400</v>
      </c>
      <c r="I15" s="10"/>
      <c r="J15" s="10"/>
      <c r="K15" s="10"/>
      <c r="L15" s="10"/>
      <c r="M15" s="10"/>
      <c r="N15" s="10"/>
      <c r="O15" s="10"/>
      <c r="P15" s="10"/>
      <c r="Q15" s="17"/>
      <c r="R15" s="44">
        <f>SUM(F15:Q15)</f>
        <v>2400</v>
      </c>
      <c r="S15" s="53">
        <f t="shared" si="3"/>
        <v>9600</v>
      </c>
    </row>
    <row r="16" spans="1:19" ht="15.75" customHeight="1" thickBot="1">
      <c r="A16" s="34" t="s">
        <v>33</v>
      </c>
      <c r="B16" s="29" t="s">
        <v>48</v>
      </c>
      <c r="C16" s="58">
        <v>34421.83</v>
      </c>
      <c r="D16" s="71">
        <v>17420.69</v>
      </c>
      <c r="E16" s="58">
        <v>30749.4</v>
      </c>
      <c r="F16" s="9">
        <v>235</v>
      </c>
      <c r="G16" s="10">
        <v>2459.5</v>
      </c>
      <c r="H16" s="10">
        <f>4246.5+1062</f>
        <v>5308.5</v>
      </c>
      <c r="I16" s="10">
        <f>5296.25+1930</f>
        <v>7226.25</v>
      </c>
      <c r="J16" s="10">
        <f>10742.25+730</f>
        <v>11472.25</v>
      </c>
      <c r="K16" s="10">
        <v>137</v>
      </c>
      <c r="L16" s="10">
        <f>9066.69+320</f>
        <v>9386.69</v>
      </c>
      <c r="M16" s="8">
        <v>90</v>
      </c>
      <c r="N16" s="10">
        <v>75</v>
      </c>
      <c r="O16" s="10">
        <v>209.7</v>
      </c>
      <c r="P16" s="10">
        <v>497</v>
      </c>
      <c r="Q16" s="17">
        <v>1056.1</v>
      </c>
      <c r="R16" s="44">
        <f t="shared" si="2"/>
        <v>38152.99</v>
      </c>
      <c r="S16" s="53">
        <f t="shared" si="3"/>
        <v>120744.91000000002</v>
      </c>
    </row>
    <row r="17" spans="1:19" ht="13.5" customHeight="1" thickBot="1">
      <c r="A17" s="34" t="s">
        <v>34</v>
      </c>
      <c r="B17" s="29" t="s">
        <v>73</v>
      </c>
      <c r="C17" s="58">
        <v>0</v>
      </c>
      <c r="D17" s="71">
        <v>51</v>
      </c>
      <c r="E17" s="58">
        <v>686.38</v>
      </c>
      <c r="F17" s="9">
        <v>14</v>
      </c>
      <c r="G17" s="10">
        <v>78</v>
      </c>
      <c r="H17" s="10"/>
      <c r="I17" s="10"/>
      <c r="J17" s="10"/>
      <c r="K17" s="10"/>
      <c r="L17" s="10"/>
      <c r="M17" s="10"/>
      <c r="N17" s="10"/>
      <c r="O17" s="10"/>
      <c r="P17" s="10"/>
      <c r="Q17" s="17"/>
      <c r="R17" s="44">
        <f t="shared" si="2"/>
        <v>92</v>
      </c>
      <c r="S17" s="53">
        <f t="shared" si="3"/>
        <v>829.38</v>
      </c>
    </row>
    <row r="18" spans="1:19" ht="12.75" customHeight="1" thickBot="1">
      <c r="A18" s="34" t="s">
        <v>35</v>
      </c>
      <c r="B18" s="29" t="s">
        <v>68</v>
      </c>
      <c r="C18" s="58"/>
      <c r="D18" s="71"/>
      <c r="E18" s="58">
        <v>64412.13</v>
      </c>
      <c r="F18" s="9">
        <v>5931.06</v>
      </c>
      <c r="G18" s="9">
        <v>5931.06</v>
      </c>
      <c r="H18" s="9">
        <v>5931.06</v>
      </c>
      <c r="I18" s="9">
        <v>5931.06</v>
      </c>
      <c r="J18" s="9">
        <v>5931.06</v>
      </c>
      <c r="K18" s="9">
        <v>5931.06</v>
      </c>
      <c r="L18" s="10">
        <v>6225.13</v>
      </c>
      <c r="M18" s="10"/>
      <c r="N18" s="10"/>
      <c r="O18" s="10"/>
      <c r="P18" s="10"/>
      <c r="Q18" s="10"/>
      <c r="R18" s="44">
        <f t="shared" si="2"/>
        <v>41811.49</v>
      </c>
      <c r="S18" s="53">
        <f t="shared" si="3"/>
        <v>106223.62</v>
      </c>
    </row>
    <row r="19" spans="1:19" ht="13.5" customHeight="1" thickBot="1">
      <c r="A19" s="34"/>
      <c r="B19" s="29" t="s">
        <v>70</v>
      </c>
      <c r="C19" s="58"/>
      <c r="D19" s="71"/>
      <c r="E19" s="58">
        <v>2010.51</v>
      </c>
      <c r="F19" s="9">
        <v>172.55</v>
      </c>
      <c r="G19" s="9">
        <v>172.55</v>
      </c>
      <c r="H19" s="9">
        <v>172.55</v>
      </c>
      <c r="I19" s="9">
        <v>172.55</v>
      </c>
      <c r="J19" s="9">
        <v>172.55</v>
      </c>
      <c r="K19" s="9">
        <v>172.55</v>
      </c>
      <c r="L19" s="10">
        <v>173.61</v>
      </c>
      <c r="M19" s="10">
        <v>173.61</v>
      </c>
      <c r="N19" s="10">
        <v>173.61</v>
      </c>
      <c r="O19" s="10">
        <v>173.61</v>
      </c>
      <c r="P19" s="10">
        <v>173.61</v>
      </c>
      <c r="Q19" s="10">
        <v>173.61</v>
      </c>
      <c r="R19" s="44">
        <f>SUM(F19:Q19)</f>
        <v>2076.9600000000005</v>
      </c>
      <c r="S19" s="53">
        <f>SUM(C19:Q19)</f>
        <v>4087.4700000000016</v>
      </c>
    </row>
    <row r="20" spans="1:19" ht="13.5" customHeight="1" thickBot="1">
      <c r="A20" s="34"/>
      <c r="B20" s="29" t="s">
        <v>69</v>
      </c>
      <c r="C20" s="58"/>
      <c r="D20" s="71"/>
      <c r="E20" s="58">
        <v>10687.22</v>
      </c>
      <c r="F20" s="9">
        <v>768.33</v>
      </c>
      <c r="G20" s="9">
        <v>768.33</v>
      </c>
      <c r="H20" s="9">
        <v>768.33</v>
      </c>
      <c r="I20" s="9">
        <v>768.33</v>
      </c>
      <c r="J20" s="9">
        <v>768.33</v>
      </c>
      <c r="K20" s="9">
        <v>768.33</v>
      </c>
      <c r="L20" s="10">
        <v>564.86</v>
      </c>
      <c r="M20" s="10">
        <v>610.68</v>
      </c>
      <c r="N20" s="10">
        <v>790.96</v>
      </c>
      <c r="O20" s="10">
        <v>790.96</v>
      </c>
      <c r="P20" s="10">
        <v>789.97</v>
      </c>
      <c r="Q20" s="10">
        <v>793.34</v>
      </c>
      <c r="R20" s="44">
        <f>SUM(F20:Q20)</f>
        <v>8950.75</v>
      </c>
      <c r="S20" s="53">
        <f>SUM(C20:Q20)</f>
        <v>19637.969999999998</v>
      </c>
    </row>
    <row r="21" spans="1:19" ht="13.5" customHeight="1" thickBot="1">
      <c r="A21" s="34"/>
      <c r="B21" s="29" t="s">
        <v>71</v>
      </c>
      <c r="C21" s="58"/>
      <c r="D21" s="71"/>
      <c r="E21" s="58">
        <v>1750.88</v>
      </c>
      <c r="F21" s="9">
        <v>250.97</v>
      </c>
      <c r="G21" s="9">
        <v>250.97</v>
      </c>
      <c r="H21" s="9">
        <v>250.97</v>
      </c>
      <c r="I21" s="9">
        <v>250.97</v>
      </c>
      <c r="J21" s="9">
        <v>250.97</v>
      </c>
      <c r="K21" s="9">
        <v>250.97</v>
      </c>
      <c r="L21" s="10">
        <v>253.13</v>
      </c>
      <c r="M21" s="10">
        <v>253.13</v>
      </c>
      <c r="N21" s="10">
        <v>253.13</v>
      </c>
      <c r="O21" s="10">
        <v>253.13</v>
      </c>
      <c r="P21" s="10">
        <v>253.13</v>
      </c>
      <c r="Q21" s="10">
        <v>253.13</v>
      </c>
      <c r="R21" s="44">
        <f>SUM(F21:Q21)</f>
        <v>3024.6000000000004</v>
      </c>
      <c r="S21" s="53">
        <f>SUM(C21:Q21)</f>
        <v>4775.48</v>
      </c>
    </row>
    <row r="22" spans="1:19" ht="11.25" customHeight="1" thickBot="1">
      <c r="A22" s="34" t="s">
        <v>36</v>
      </c>
      <c r="B22" s="29" t="s">
        <v>6</v>
      </c>
      <c r="C22" s="58">
        <v>0</v>
      </c>
      <c r="D22" s="71">
        <v>647.09</v>
      </c>
      <c r="E22" s="58">
        <v>3449.73</v>
      </c>
      <c r="F22" s="9"/>
      <c r="G22" s="10">
        <v>1238.17</v>
      </c>
      <c r="H22" s="10">
        <v>179.64</v>
      </c>
      <c r="I22" s="10"/>
      <c r="J22" s="10"/>
      <c r="K22" s="10">
        <v>200.8</v>
      </c>
      <c r="L22" s="10"/>
      <c r="M22" s="10"/>
      <c r="N22" s="10">
        <v>200.8</v>
      </c>
      <c r="O22" s="10"/>
      <c r="P22" s="10"/>
      <c r="Q22" s="17">
        <v>172.11</v>
      </c>
      <c r="R22" s="44">
        <f t="shared" si="2"/>
        <v>1991.52</v>
      </c>
      <c r="S22" s="53">
        <f t="shared" si="3"/>
        <v>6088.34</v>
      </c>
    </row>
    <row r="23" spans="1:19" ht="21.75" customHeight="1" thickBot="1">
      <c r="A23" s="34" t="s">
        <v>37</v>
      </c>
      <c r="B23" s="29" t="s">
        <v>72</v>
      </c>
      <c r="C23" s="58">
        <v>13949.6</v>
      </c>
      <c r="D23" s="71">
        <v>21529.26</v>
      </c>
      <c r="E23" s="58">
        <v>21864.07</v>
      </c>
      <c r="F23" s="9">
        <v>1907.03</v>
      </c>
      <c r="G23" s="10">
        <v>1749.49</v>
      </c>
      <c r="H23" s="10">
        <v>2333.15</v>
      </c>
      <c r="I23" s="10">
        <v>1819.38</v>
      </c>
      <c r="J23" s="10">
        <v>1530.24</v>
      </c>
      <c r="K23" s="10">
        <v>2217.9</v>
      </c>
      <c r="L23" s="10">
        <v>1804.1</v>
      </c>
      <c r="M23" s="10">
        <v>1844.98</v>
      </c>
      <c r="N23" s="10">
        <v>1516.32</v>
      </c>
      <c r="O23" s="10">
        <v>2276.16</v>
      </c>
      <c r="P23" s="10">
        <v>2012.35</v>
      </c>
      <c r="Q23" s="17">
        <v>1964.58</v>
      </c>
      <c r="R23" s="44">
        <f t="shared" si="2"/>
        <v>22975.68</v>
      </c>
      <c r="S23" s="53">
        <f t="shared" si="3"/>
        <v>80318.61000000002</v>
      </c>
    </row>
    <row r="24" spans="1:19" ht="24.75" customHeight="1" thickBot="1">
      <c r="A24" s="34" t="s">
        <v>46</v>
      </c>
      <c r="B24" s="29" t="s">
        <v>59</v>
      </c>
      <c r="C24" s="58">
        <v>2416.22</v>
      </c>
      <c r="D24" s="71">
        <v>3062.51</v>
      </c>
      <c r="E24" s="58">
        <v>2391.6</v>
      </c>
      <c r="F24" s="9">
        <v>188.48</v>
      </c>
      <c r="G24" s="10">
        <v>126.55</v>
      </c>
      <c r="H24" s="10">
        <v>89.85</v>
      </c>
      <c r="I24" s="10">
        <v>126.26</v>
      </c>
      <c r="J24" s="10">
        <v>117.23</v>
      </c>
      <c r="K24" s="10">
        <v>139.8</v>
      </c>
      <c r="L24" s="10">
        <v>427.54</v>
      </c>
      <c r="M24" s="10">
        <v>109.47</v>
      </c>
      <c r="N24" s="10">
        <v>135.54</v>
      </c>
      <c r="O24" s="10">
        <v>117.37</v>
      </c>
      <c r="P24" s="10">
        <v>561.23</v>
      </c>
      <c r="Q24" s="17">
        <v>178.37</v>
      </c>
      <c r="R24" s="44">
        <f t="shared" si="2"/>
        <v>2317.69</v>
      </c>
      <c r="S24" s="53">
        <f t="shared" si="3"/>
        <v>10188.02</v>
      </c>
    </row>
    <row r="25" spans="1:19" ht="34.5" thickBot="1">
      <c r="A25" s="34" t="s">
        <v>47</v>
      </c>
      <c r="B25" s="29" t="s">
        <v>60</v>
      </c>
      <c r="C25" s="58">
        <v>16777.79</v>
      </c>
      <c r="D25" s="71">
        <v>22401.85</v>
      </c>
      <c r="E25" s="58">
        <v>23587.65</v>
      </c>
      <c r="F25" s="9">
        <f>94.33+674.66+1042.27</f>
        <v>1811.26</v>
      </c>
      <c r="G25" s="10">
        <f>989.54+103.38+912.71</f>
        <v>2005.63</v>
      </c>
      <c r="H25" s="10">
        <f>1002.27+102.48+990.62</f>
        <v>2095.37</v>
      </c>
      <c r="I25" s="10">
        <f>1055.8+103.86+771.64</f>
        <v>1931.2999999999997</v>
      </c>
      <c r="J25" s="10">
        <f>1280.1+93.31+602.18</f>
        <v>1975.5899999999997</v>
      </c>
      <c r="K25" s="10">
        <f>1028.06+87.52+574.61</f>
        <v>1690.19</v>
      </c>
      <c r="L25" s="10">
        <f>98.49+667.71+1297.36</f>
        <v>2063.56</v>
      </c>
      <c r="M25" s="10">
        <f>104.57+1014.72+1005.75</f>
        <v>2125.04</v>
      </c>
      <c r="N25" s="10">
        <f>1171.79+82.27+784.77</f>
        <v>2038.83</v>
      </c>
      <c r="O25" s="10">
        <f>109.83+1412.23+1142.27</f>
        <v>2664.33</v>
      </c>
      <c r="P25" s="10">
        <f>89.99+787.73+1636.4</f>
        <v>2514.12</v>
      </c>
      <c r="Q25" s="17">
        <f>1485.51+104.05+1332.8</f>
        <v>2922.3599999999997</v>
      </c>
      <c r="R25" s="44">
        <f t="shared" si="2"/>
        <v>25837.579999999998</v>
      </c>
      <c r="S25" s="53">
        <f t="shared" si="3"/>
        <v>88604.87</v>
      </c>
    </row>
    <row r="26" spans="1:19" ht="15.75" customHeight="1" thickBot="1">
      <c r="A26" s="34" t="s">
        <v>49</v>
      </c>
      <c r="B26" s="29" t="s">
        <v>10</v>
      </c>
      <c r="C26" s="58">
        <v>177859.27</v>
      </c>
      <c r="D26" s="71">
        <v>252583.08</v>
      </c>
      <c r="E26" s="58">
        <v>260457.55</v>
      </c>
      <c r="F26" s="9">
        <f>44405.45-20322.55</f>
        <v>24082.899999999998</v>
      </c>
      <c r="G26" s="10">
        <f>49509.78-24093.37</f>
        <v>25416.41</v>
      </c>
      <c r="H26" s="10">
        <f>51639.84-28629.56</f>
        <v>23010.279999999995</v>
      </c>
      <c r="I26" s="10">
        <f>54906.48-29900.07</f>
        <v>25006.410000000003</v>
      </c>
      <c r="J26" s="10">
        <f>58651.96-32980.15</f>
        <v>25671.809999999998</v>
      </c>
      <c r="K26" s="10">
        <f>47386.43-25543.38+1000</f>
        <v>22843.05</v>
      </c>
      <c r="L26" s="10">
        <f>56042.26-30008.77+1000</f>
        <v>27033.49</v>
      </c>
      <c r="M26" s="10">
        <f>36717.09-14589.68+1000</f>
        <v>23127.409999999996</v>
      </c>
      <c r="N26" s="10">
        <f>34426.18-13816.69+1000</f>
        <v>21609.489999999998</v>
      </c>
      <c r="O26" s="10">
        <f>60046.12-39049.32+1000</f>
        <v>21996.800000000003</v>
      </c>
      <c r="P26" s="10">
        <f>38550.99-15767.1+1000</f>
        <v>23783.89</v>
      </c>
      <c r="Q26" s="17">
        <f>47174.95-16108.04-6000</f>
        <v>25066.909999999996</v>
      </c>
      <c r="R26" s="44">
        <f t="shared" si="2"/>
        <v>288648.85</v>
      </c>
      <c r="S26" s="53">
        <f t="shared" si="3"/>
        <v>979548.7500000001</v>
      </c>
    </row>
    <row r="27" spans="1:19" ht="13.5" customHeight="1" thickBot="1">
      <c r="A27" s="34" t="s">
        <v>51</v>
      </c>
      <c r="B27" s="30" t="s">
        <v>3</v>
      </c>
      <c r="C27" s="59">
        <v>12421.54</v>
      </c>
      <c r="D27" s="72">
        <v>21399.23</v>
      </c>
      <c r="E27" s="59">
        <v>23701.25</v>
      </c>
      <c r="F27" s="11">
        <f>271.24+1776.99</f>
        <v>2048.23</v>
      </c>
      <c r="G27" s="12">
        <f>236.01+1575.81</f>
        <v>1811.82</v>
      </c>
      <c r="H27" s="12">
        <f>280.97+1882.02</f>
        <v>2162.99</v>
      </c>
      <c r="I27" s="12">
        <f>268.38+1797.13</f>
        <v>2065.51</v>
      </c>
      <c r="J27" s="12">
        <f>256.52+1712.7</f>
        <v>1969.22</v>
      </c>
      <c r="K27" s="12">
        <f>285.63+1964.84</f>
        <v>2250.47</v>
      </c>
      <c r="L27" s="12">
        <f>255.29+1708.14</f>
        <v>1963.43</v>
      </c>
      <c r="M27" s="12">
        <f>285.01+1827.15</f>
        <v>2112.16</v>
      </c>
      <c r="N27" s="12">
        <f>44.03+1694.83</f>
        <v>1738.86</v>
      </c>
      <c r="O27" s="12">
        <f>48.36+1802.21</f>
        <v>1850.57</v>
      </c>
      <c r="P27" s="12">
        <f>63.34+1977.52</f>
        <v>2040.86</v>
      </c>
      <c r="Q27" s="18">
        <f>43.65+1714.55</f>
        <v>1758.2</v>
      </c>
      <c r="R27" s="44">
        <f t="shared" si="2"/>
        <v>23772.32</v>
      </c>
      <c r="S27" s="53">
        <f t="shared" si="3"/>
        <v>81294.34000000001</v>
      </c>
    </row>
    <row r="28" spans="1:19" ht="13.5" customHeight="1" thickBot="1">
      <c r="A28" s="34"/>
      <c r="B28" s="36" t="s">
        <v>52</v>
      </c>
      <c r="C28" s="49">
        <f>C8*5%</f>
        <v>19316.472</v>
      </c>
      <c r="D28" s="73">
        <f>D8*5%</f>
        <v>28945.896000000004</v>
      </c>
      <c r="E28" s="50">
        <f>SUM(E8+E9+E10)*5%</f>
        <v>32920.59</v>
      </c>
      <c r="F28" s="49">
        <f>SUM(F8+F9+F10)*5%</f>
        <v>2772.2455000000004</v>
      </c>
      <c r="G28" s="49">
        <f aca="true" t="shared" si="4" ref="G28:Q28">SUM(G8+G9+G10)*5%</f>
        <v>2772.2455000000004</v>
      </c>
      <c r="H28" s="49">
        <f t="shared" si="4"/>
        <v>2772.2455000000004</v>
      </c>
      <c r="I28" s="49">
        <f t="shared" si="4"/>
        <v>2772.2455000000004</v>
      </c>
      <c r="J28" s="49">
        <f t="shared" si="4"/>
        <v>2772.2515000000003</v>
      </c>
      <c r="K28" s="49">
        <f t="shared" si="4"/>
        <v>2772.2515000000003</v>
      </c>
      <c r="L28" s="49">
        <f t="shared" si="4"/>
        <v>2788.6130000000003</v>
      </c>
      <c r="M28" s="49">
        <f t="shared" si="4"/>
        <v>2477.3565</v>
      </c>
      <c r="N28" s="49">
        <f t="shared" si="4"/>
        <v>2477.3565</v>
      </c>
      <c r="O28" s="49">
        <f t="shared" si="4"/>
        <v>2477.3565</v>
      </c>
      <c r="P28" s="49">
        <f t="shared" si="4"/>
        <v>2477.3565</v>
      </c>
      <c r="Q28" s="49">
        <f t="shared" si="4"/>
        <v>2476.7405</v>
      </c>
      <c r="R28" s="50">
        <f t="shared" si="2"/>
        <v>31808.264500000005</v>
      </c>
      <c r="S28" s="54"/>
    </row>
    <row r="29" spans="1:19" ht="15" customHeight="1" thickBot="1">
      <c r="A29" s="34" t="s">
        <v>50</v>
      </c>
      <c r="B29" s="48" t="s">
        <v>45</v>
      </c>
      <c r="C29" s="60"/>
      <c r="D29" s="74"/>
      <c r="E29" s="76">
        <f aca="true" t="shared" si="5" ref="E29:Q29">SUM(E8+E9+E10-E11)-E28</f>
        <v>59124.32999999993</v>
      </c>
      <c r="F29" s="51">
        <f t="shared" si="5"/>
        <v>8267.214499999998</v>
      </c>
      <c r="G29" s="51">
        <f t="shared" si="5"/>
        <v>3162.884499999997</v>
      </c>
      <c r="H29" s="51">
        <f t="shared" si="5"/>
        <v>1032.8245000000138</v>
      </c>
      <c r="I29" s="51">
        <f t="shared" si="5"/>
        <v>-2233.8155</v>
      </c>
      <c r="J29" s="51">
        <f t="shared" si="5"/>
        <v>-5979.181500000001</v>
      </c>
      <c r="K29" s="51">
        <f t="shared" si="5"/>
        <v>4286.3485000000055</v>
      </c>
      <c r="L29" s="51">
        <f t="shared" si="5"/>
        <v>-4058.6130000000003</v>
      </c>
      <c r="M29" s="51">
        <f t="shared" si="5"/>
        <v>9352.683500000001</v>
      </c>
      <c r="N29" s="51">
        <f t="shared" si="5"/>
        <v>11643.593499999997</v>
      </c>
      <c r="O29" s="51">
        <f t="shared" si="5"/>
        <v>-13976.346500000012</v>
      </c>
      <c r="P29" s="51">
        <f t="shared" si="5"/>
        <v>7518.7835</v>
      </c>
      <c r="Q29" s="51">
        <f t="shared" si="5"/>
        <v>5883.119500000001</v>
      </c>
      <c r="R29" s="50">
        <f t="shared" si="2"/>
        <v>24899.4955</v>
      </c>
      <c r="S29" s="54"/>
    </row>
    <row r="30" spans="1:19" ht="30" customHeight="1" thickBot="1">
      <c r="A30" s="34" t="s">
        <v>38</v>
      </c>
      <c r="B30" s="90" t="s">
        <v>23</v>
      </c>
      <c r="C30" s="85">
        <f>SUM(C8-C11)-C28</f>
        <v>50474.627999999975</v>
      </c>
      <c r="D30" s="91">
        <f>SUM(D8-D11)-D28</f>
        <v>135168.47400000005</v>
      </c>
      <c r="E30" s="85">
        <f>SUM(E8+E9+E10-E11)-E28</f>
        <v>59124.32999999993</v>
      </c>
      <c r="F30" s="92">
        <f>SUM(F8+F9+F10-F11)-F28</f>
        <v>8267.214499999998</v>
      </c>
      <c r="G30" s="93">
        <f>SUM(G29+F30)</f>
        <v>11430.098999999995</v>
      </c>
      <c r="H30" s="93">
        <f aca="true" t="shared" si="6" ref="H30:Q30">SUM(H29+G30)</f>
        <v>12462.923500000008</v>
      </c>
      <c r="I30" s="93">
        <f t="shared" si="6"/>
        <v>10229.108000000007</v>
      </c>
      <c r="J30" s="93">
        <f t="shared" si="6"/>
        <v>4249.926500000007</v>
      </c>
      <c r="K30" s="93">
        <f t="shared" si="6"/>
        <v>8536.275000000012</v>
      </c>
      <c r="L30" s="93">
        <f t="shared" si="6"/>
        <v>4477.662000000012</v>
      </c>
      <c r="M30" s="93">
        <f t="shared" si="6"/>
        <v>13830.345500000014</v>
      </c>
      <c r="N30" s="93">
        <f t="shared" si="6"/>
        <v>25473.939000000013</v>
      </c>
      <c r="O30" s="93">
        <f t="shared" si="6"/>
        <v>11497.5925</v>
      </c>
      <c r="P30" s="93">
        <f t="shared" si="6"/>
        <v>19016.376</v>
      </c>
      <c r="Q30" s="93">
        <f t="shared" si="6"/>
        <v>24899.4955</v>
      </c>
      <c r="R30" s="79"/>
      <c r="S30" s="94"/>
    </row>
    <row r="31" spans="1:19" ht="21" customHeight="1" hidden="1" thickBot="1">
      <c r="A31" s="34" t="s">
        <v>39</v>
      </c>
      <c r="B31" s="37" t="s">
        <v>24</v>
      </c>
      <c r="C31" s="36">
        <v>50474.63</v>
      </c>
      <c r="D31" s="75">
        <f>SUM(D30+C31)</f>
        <v>185643.10400000005</v>
      </c>
      <c r="E31" s="50">
        <f>SUM(E30+D31)</f>
        <v>244767.43399999998</v>
      </c>
      <c r="F31" s="75">
        <f>SUM(F30+E31)</f>
        <v>253034.64849999998</v>
      </c>
      <c r="G31" s="52">
        <f aca="true" t="shared" si="7" ref="G31:Q31">SUM(G29+F31)</f>
        <v>256197.53299999997</v>
      </c>
      <c r="H31" s="52">
        <f t="shared" si="7"/>
        <v>257230.35749999998</v>
      </c>
      <c r="I31" s="52">
        <f t="shared" si="7"/>
        <v>254996.542</v>
      </c>
      <c r="J31" s="52">
        <f t="shared" si="7"/>
        <v>249017.36049999998</v>
      </c>
      <c r="K31" s="52">
        <f t="shared" si="7"/>
        <v>253303.70899999997</v>
      </c>
      <c r="L31" s="52">
        <f t="shared" si="7"/>
        <v>249245.09599999996</v>
      </c>
      <c r="M31" s="52">
        <f t="shared" si="7"/>
        <v>258597.77949999998</v>
      </c>
      <c r="N31" s="52">
        <f t="shared" si="7"/>
        <v>270241.37299999996</v>
      </c>
      <c r="O31" s="52">
        <f t="shared" si="7"/>
        <v>256265.02649999995</v>
      </c>
      <c r="P31" s="52">
        <f t="shared" si="7"/>
        <v>263783.80999999994</v>
      </c>
      <c r="Q31" s="52">
        <f t="shared" si="7"/>
        <v>269666.92949999997</v>
      </c>
      <c r="R31" s="44"/>
      <c r="S31" s="55"/>
    </row>
    <row r="32" spans="1:19" ht="8.25" customHeight="1" hidden="1" thickBot="1">
      <c r="A32" s="34" t="s">
        <v>40</v>
      </c>
      <c r="B32" s="37" t="s">
        <v>8</v>
      </c>
      <c r="C32" s="56"/>
      <c r="D32" s="56"/>
      <c r="E32" s="56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9"/>
      <c r="R32" s="44"/>
      <c r="S32" s="40"/>
    </row>
    <row r="33" spans="1:19" ht="15" customHeight="1" hidden="1" thickBot="1">
      <c r="A33" s="35" t="s">
        <v>41</v>
      </c>
      <c r="B33" s="31" t="s">
        <v>25</v>
      </c>
      <c r="C33" s="56"/>
      <c r="D33" s="56"/>
      <c r="E33" s="56"/>
      <c r="F33" s="13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9"/>
      <c r="R33" s="45"/>
      <c r="S33" s="41"/>
    </row>
    <row r="34" spans="1:19" ht="0.75" customHeight="1" hidden="1" thickBot="1">
      <c r="A34" s="35" t="s">
        <v>42</v>
      </c>
      <c r="B34" s="32" t="s">
        <v>43</v>
      </c>
      <c r="C34" s="57"/>
      <c r="D34" s="57"/>
      <c r="E34" s="57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>
        <f>SUM(Q30-Q32)</f>
        <v>24899.4955</v>
      </c>
      <c r="R34" s="46"/>
      <c r="S34" s="42"/>
    </row>
    <row r="35" spans="1:19" ht="24" customHeight="1" hidden="1" thickBot="1">
      <c r="A35" s="38" t="s">
        <v>44</v>
      </c>
      <c r="B35" s="32" t="s">
        <v>26</v>
      </c>
      <c r="C35" s="57"/>
      <c r="D35" s="57"/>
      <c r="E35" s="57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3">
        <f>SUM(Q31-Q32)</f>
        <v>269666.92949999997</v>
      </c>
      <c r="R35" s="46"/>
      <c r="S35" s="42"/>
    </row>
    <row r="36" spans="6:19" ht="3" customHeight="1" hidden="1"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1"/>
    </row>
    <row r="37" ht="6" customHeight="1" hidden="1"/>
    <row r="38" ht="12.75" hidden="1"/>
    <row r="39" ht="12.75" hidden="1"/>
    <row r="40" ht="12.75">
      <c r="B40" t="s">
        <v>62</v>
      </c>
    </row>
    <row r="44" ht="12.75" customHeight="1"/>
    <row r="45" ht="12.75" customHeight="1"/>
  </sheetData>
  <sheetProtection/>
  <mergeCells count="5">
    <mergeCell ref="B4:S4"/>
    <mergeCell ref="B5:S5"/>
    <mergeCell ref="B3:S3"/>
    <mergeCell ref="B1:H1"/>
    <mergeCell ref="B2:Q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2019-02-11T13:24:28Z</cp:lastPrinted>
  <dcterms:created xsi:type="dcterms:W3CDTF">2011-06-16T11:06:26Z</dcterms:created>
  <dcterms:modified xsi:type="dcterms:W3CDTF">2019-02-14T05:37:22Z</dcterms:modified>
  <cp:category/>
  <cp:version/>
  <cp:contentType/>
  <cp:contentStatus/>
</cp:coreProperties>
</file>