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<sst xmlns="http://schemas.openxmlformats.org/spreadsheetml/2006/main" count="77" uniqueCount="76">
  <si>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</si>
  <si>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</si>
  <si>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</si>
  <si>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</si>
  <si>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</si>
  <si>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</si>
  <si>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</si>
  <si>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</si>
  <si>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</si>
  <si>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</si>
  <si>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</si>
  <si>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</si>
  <si>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</si>
  <si>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</si>
  <si>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</si>
  <si>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</si>
  <si>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</si>
  <si>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</si>
  <si>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</si>
  <si>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</si>
  <si>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</si>
  <si>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</si>
  <si>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</si>
  <si>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</si>
  <si>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</si>
  <si>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</si>
  <si>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</si>
  <si>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</si>
  <si>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</si>
  <si>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</si>
  <si>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</si>
  <si>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</si>
  <si>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</si>
  <si>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</si>
  <si>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</si>
  <si>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</si>
  <si>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</si>
  <si>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</si>
  <si>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</si>
  <si>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</si>
  <si>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</si>
  <si>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</si>
  <si>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</si>
  <si>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</si>
  <si>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</si>
  <si>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</si>
  <si>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Совхозная д.95</t>
  </si>
  <si>
    <t>Итого за 2011 г</t>
  </si>
  <si>
    <t>Результат за месяц</t>
  </si>
  <si>
    <t>Дом по ул.Совхозная д.95 вступил в ООО "Наш дом" с февраля 2010 года                тариф 9,2 руб</t>
  </si>
  <si>
    <t>Благоустройство территории</t>
  </si>
  <si>
    <t>Итого за 2012 г</t>
  </si>
  <si>
    <t xml:space="preserve">Материалы </t>
  </si>
  <si>
    <t>4.13</t>
  </si>
  <si>
    <t>4.14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</si>
  <si>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</si>
  <si>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</si>
  <si>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</si>
  <si>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</si>
  <si>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</si>
  <si>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</si>
  <si>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</si>
  <si>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4.5</t>
  </si>
  <si>
    <t>Проверка вент.каналов</t>
  </si>
  <si>
    <t>Исполнитель вед. экономист  /Викторова Л.С./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</si>
  <si>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</si>
  <si>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</si>
  <si>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</si>
  <si>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</si>
  <si>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</si>
  <si>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</si>
  <si>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</si>
  <si>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</si>
  <si>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Транспортные(ГСМ,зап.части,амортизация,страхов)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</si>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</sst>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0" fontId="25" fillId="0" borderId="34" xfId="0" applyFont="1" applyBorder="1" applyAlignment="1">
      <alignment wrapText="1"/>
    </xf>
    <xf numFmtId="0" fontId="25" fillId="0" borderId="38" xfId="0" applyFont="1" applyBorder="1" applyAlignment="1">
      <alignment wrapText="1"/>
    </xf>
    <xf numFmtId="0" fontId="0" fillId="0" borderId="26" xfId="0" applyFont="1" applyBorder="1" applyAlignment="1">
      <alignment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0" fontId="26" fillId="0" borderId="0" xfId="0" applyFont="1" applyAlignment="1">
      <alignment/>
    </xf>
    <xf numFmtId="2" fontId="21" fillId="0" borderId="26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29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4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7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48" xfId="0" applyFont="1" applyBorder="1" applyAlignment="1">
      <alignment/>
    </xf>
    <xf numFmtId="0" fontId="28" fillId="0" borderId="46" xfId="0" applyFont="1" applyBorder="1" applyAlignment="1">
      <alignment/>
    </xf>
    <xf numFmtId="2" fontId="28" fillId="0" borderId="26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22" fillId="0" borderId="46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B13">
      <selection activeCell="T24" sqref="T24"/>
    </sheetView>
  </sheetViews>
  <sheetFormatPr defaultColWidth="9.00390625" defaultRowHeight="12.75"/>
  <cols>
    <col min="1" max="1" width="4.25390625" style="30" hidden="1" customWidth="1"/>
    <col min="2" max="2" width="20.375" style="0" customWidth="1"/>
    <col min="3" max="3" width="7.875" style="0" hidden="1" customWidth="1"/>
    <col min="4" max="4" width="8.125" style="0" hidden="1" customWidth="1"/>
    <col min="5" max="5" width="9.875" style="0" hidden="1" customWidth="1"/>
    <col min="6" max="6" width="9.125" style="0" hidden="1" customWidth="1"/>
    <col min="7" max="7" width="8.875" style="0" hidden="1" customWidth="1"/>
    <col min="8" max="8" width="9.00390625" style="0" hidden="1" customWidth="1"/>
    <col min="9" max="9" width="10.875" style="0" hidden="1" customWidth="1"/>
    <col min="10" max="10" width="9.125" style="0" hidden="1" customWidth="1"/>
    <col min="11" max="11" width="9.375" style="0" customWidth="1"/>
    <col min="12" max="12" width="9.00390625" style="0" customWidth="1"/>
    <col min="13" max="13" width="8.625" style="0" customWidth="1"/>
    <col min="14" max="14" width="8.875" style="0" customWidth="1"/>
    <col min="15" max="15" width="8.75390625" style="0" customWidth="1"/>
    <col min="16" max="16" width="8.00390625" style="0" customWidth="1"/>
    <col min="17" max="17" width="8.625" style="0" customWidth="1"/>
    <col min="18" max="18" width="8.75390625" style="0" customWidth="1"/>
    <col min="19" max="19" width="8.625" style="0" customWidth="1"/>
    <col min="20" max="20" width="9.00390625" style="0" customWidth="1"/>
    <col min="21" max="21" width="8.25390625" style="0" customWidth="1"/>
    <col min="22" max="22" width="9.00390625" style="0" customWidth="1"/>
    <col min="23" max="23" width="9.25390625" style="0" customWidth="1"/>
    <col min="24" max="24" width="10.25390625" style="0" customWidth="1"/>
  </cols>
  <sheetData>
    <row r="1" spans="2:29" ht="12.75" customHeight="1">
      <c r="B1" s="95" t="s">
        <v>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5" t="s">
        <v>49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</row>
    <row r="4" spans="2:29" ht="15" customHeight="1">
      <c r="B4" s="93" t="s">
        <v>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2"/>
      <c r="Z4" s="2"/>
      <c r="AA4" s="2"/>
      <c r="AB4" s="2"/>
      <c r="AC4" s="2"/>
    </row>
    <row r="5" spans="2:29" ht="15.75" customHeight="1" thickBot="1">
      <c r="B5" s="93" t="s">
        <v>46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2"/>
      <c r="Z5" s="2"/>
      <c r="AA5" s="2"/>
      <c r="AB5" s="2"/>
      <c r="AC5" s="2"/>
    </row>
    <row r="6" spans="1:29" ht="31.5" customHeight="1" thickBot="1">
      <c r="A6" s="38" t="s">
        <v>26</v>
      </c>
      <c r="B6" s="31" t="s">
        <v>5</v>
      </c>
      <c r="C6" s="41" t="s">
        <v>43</v>
      </c>
      <c r="D6" s="60" t="s">
        <v>47</v>
      </c>
      <c r="E6" s="49" t="s">
        <v>51</v>
      </c>
      <c r="F6" s="49" t="s">
        <v>55</v>
      </c>
      <c r="G6" s="49" t="s">
        <v>56</v>
      </c>
      <c r="H6" s="49" t="s">
        <v>58</v>
      </c>
      <c r="I6" s="49" t="s">
        <v>65</v>
      </c>
      <c r="J6" s="49" t="s">
        <v>66</v>
      </c>
      <c r="K6" s="6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21</v>
      </c>
      <c r="V6" s="15" t="s">
        <v>20</v>
      </c>
      <c r="W6" s="49" t="s">
        <v>74</v>
      </c>
      <c r="X6" s="21" t="s">
        <v>75</v>
      </c>
      <c r="Y6" s="1"/>
      <c r="Z6" s="1"/>
      <c r="AA6" s="1"/>
      <c r="AB6" s="1"/>
      <c r="AC6" s="1"/>
    </row>
    <row r="7" spans="1:24" ht="13.5" thickBot="1">
      <c r="A7" s="39" t="s">
        <v>27</v>
      </c>
      <c r="B7" s="32" t="s">
        <v>1</v>
      </c>
      <c r="C7" s="55">
        <v>336335.44</v>
      </c>
      <c r="D7" s="61">
        <v>366462.68</v>
      </c>
      <c r="E7" s="56">
        <v>365767.16</v>
      </c>
      <c r="F7" s="55">
        <v>365763.48</v>
      </c>
      <c r="G7" s="56">
        <v>365723.92</v>
      </c>
      <c r="H7" s="55">
        <v>365520.6</v>
      </c>
      <c r="I7" s="55">
        <v>364915.24</v>
      </c>
      <c r="J7" s="55">
        <v>364334.72</v>
      </c>
      <c r="K7" s="7">
        <v>30348.04</v>
      </c>
      <c r="L7" s="7">
        <v>30348.04</v>
      </c>
      <c r="M7" s="7">
        <v>30348.04</v>
      </c>
      <c r="N7" s="7">
        <v>30348.04</v>
      </c>
      <c r="O7" s="7">
        <v>30348.04</v>
      </c>
      <c r="P7" s="7">
        <v>30348.04</v>
      </c>
      <c r="Q7" s="8">
        <v>30348.04</v>
      </c>
      <c r="R7" s="8">
        <v>30348.04</v>
      </c>
      <c r="S7" s="8">
        <v>30348.04</v>
      </c>
      <c r="T7" s="8">
        <v>30342.52</v>
      </c>
      <c r="U7" s="8">
        <v>30342.52</v>
      </c>
      <c r="V7" s="8">
        <v>30342.52</v>
      </c>
      <c r="W7" s="50">
        <f>SUM(K7:V7)</f>
        <v>364159.9200000001</v>
      </c>
      <c r="X7" s="73">
        <f>SUM(C7:V7)</f>
        <v>3258983.1599999997</v>
      </c>
    </row>
    <row r="8" spans="1:24" ht="13.5" thickBot="1">
      <c r="A8" s="39"/>
      <c r="B8" s="32" t="s">
        <v>67</v>
      </c>
      <c r="C8" s="56"/>
      <c r="D8" s="61"/>
      <c r="E8" s="56"/>
      <c r="F8" s="56"/>
      <c r="G8" s="56"/>
      <c r="H8" s="56"/>
      <c r="I8" s="56"/>
      <c r="J8" s="56">
        <v>42876.1</v>
      </c>
      <c r="K8" s="7">
        <f aca="true" t="shared" si="0" ref="K8:P8">3363.37+100.44+146.1+447.25</f>
        <v>4057.16</v>
      </c>
      <c r="L8" s="7">
        <f t="shared" si="0"/>
        <v>4057.16</v>
      </c>
      <c r="M8" s="7">
        <f t="shared" si="0"/>
        <v>4057.16</v>
      </c>
      <c r="N8" s="7">
        <f t="shared" si="0"/>
        <v>4057.16</v>
      </c>
      <c r="O8" s="7">
        <f t="shared" si="0"/>
        <v>4057.16</v>
      </c>
      <c r="P8" s="7">
        <f t="shared" si="0"/>
        <v>4057.16</v>
      </c>
      <c r="Q8" s="8">
        <f>3531.53+101.04+147.32+461.79</f>
        <v>4241.68</v>
      </c>
      <c r="R8" s="8">
        <f>101.04+147.32+461.79</f>
        <v>710.1500000000001</v>
      </c>
      <c r="S8" s="8">
        <f>101.04+147.32+461.79</f>
        <v>710.1500000000001</v>
      </c>
      <c r="T8" s="8">
        <f>101.02+147.31+461.78</f>
        <v>710.1099999999999</v>
      </c>
      <c r="U8" s="8">
        <f>101.02+147.31+461.78</f>
        <v>710.1099999999999</v>
      </c>
      <c r="V8" s="8">
        <f>101.02+147.31+461.78</f>
        <v>710.1099999999999</v>
      </c>
      <c r="W8" s="50">
        <f>SUM(K8:V8)</f>
        <v>32135.270000000004</v>
      </c>
      <c r="X8" s="73">
        <f>SUM(C8:V8)</f>
        <v>75011.37000000001</v>
      </c>
    </row>
    <row r="9" spans="1:24" s="83" customFormat="1" ht="13.5" thickBot="1">
      <c r="A9" s="77" t="s">
        <v>28</v>
      </c>
      <c r="B9" s="78" t="s">
        <v>2</v>
      </c>
      <c r="C9" s="79">
        <f aca="true" t="shared" si="1" ref="C9:K9">SUM(C10:C24)</f>
        <v>288965.8</v>
      </c>
      <c r="D9" s="80">
        <f t="shared" si="1"/>
        <v>352518.7299999999</v>
      </c>
      <c r="E9" s="79">
        <f t="shared" si="1"/>
        <v>337021.73</v>
      </c>
      <c r="F9" s="79">
        <f t="shared" si="1"/>
        <v>336957.09</v>
      </c>
      <c r="G9" s="79">
        <f t="shared" si="1"/>
        <v>348535.92</v>
      </c>
      <c r="H9" s="79">
        <f>SUM(H10:H24)</f>
        <v>445309.64</v>
      </c>
      <c r="I9" s="79">
        <f>SUM(I10:I24)</f>
        <v>364985.96</v>
      </c>
      <c r="J9" s="79">
        <f>SUM(J10:J24)</f>
        <v>411838.23</v>
      </c>
      <c r="K9" s="81">
        <f t="shared" si="1"/>
        <v>34488.27</v>
      </c>
      <c r="L9" s="81">
        <f aca="true" t="shared" si="2" ref="L9:V9">SUM(L10:L24)</f>
        <v>37020.32</v>
      </c>
      <c r="M9" s="81">
        <f t="shared" si="2"/>
        <v>34328.13999999999</v>
      </c>
      <c r="N9" s="81">
        <f t="shared" si="2"/>
        <v>38715.93</v>
      </c>
      <c r="O9" s="81">
        <f t="shared" si="2"/>
        <v>42318.54</v>
      </c>
      <c r="P9" s="81">
        <f t="shared" si="2"/>
        <v>33481.52999999999</v>
      </c>
      <c r="Q9" s="81">
        <f t="shared" si="2"/>
        <v>34769.44999999999</v>
      </c>
      <c r="R9" s="81">
        <f t="shared" si="2"/>
        <v>30858.35</v>
      </c>
      <c r="S9" s="81">
        <f t="shared" si="2"/>
        <v>29482.06</v>
      </c>
      <c r="T9" s="81">
        <f t="shared" si="2"/>
        <v>30619.3</v>
      </c>
      <c r="U9" s="81">
        <f t="shared" si="2"/>
        <v>34769.06</v>
      </c>
      <c r="V9" s="80">
        <f t="shared" si="2"/>
        <v>32658.879999999994</v>
      </c>
      <c r="W9" s="79">
        <f>SUM(K9:V9)</f>
        <v>413509.82999999996</v>
      </c>
      <c r="X9" s="82">
        <f>SUM(C9:V9)</f>
        <v>3299642.9299999997</v>
      </c>
    </row>
    <row r="10" spans="1:27" ht="15" customHeight="1" thickBot="1">
      <c r="A10" s="39" t="s">
        <v>29</v>
      </c>
      <c r="B10" s="33" t="s">
        <v>4</v>
      </c>
      <c r="C10" s="45">
        <v>62159.99</v>
      </c>
      <c r="D10" s="62">
        <v>77275.82</v>
      </c>
      <c r="E10" s="45">
        <v>78696.7</v>
      </c>
      <c r="F10" s="45">
        <v>89200.63</v>
      </c>
      <c r="G10" s="45">
        <v>102923.78</v>
      </c>
      <c r="H10" s="45">
        <v>96668.21</v>
      </c>
      <c r="I10" s="45">
        <v>96619.08</v>
      </c>
      <c r="J10" s="45">
        <v>98145.88</v>
      </c>
      <c r="K10" s="7">
        <f>7526+295.1</f>
        <v>7821.1</v>
      </c>
      <c r="L10" s="8">
        <f>7526+323.72</f>
        <v>7849.72</v>
      </c>
      <c r="M10" s="8">
        <f>7526+229.88</f>
        <v>7755.88</v>
      </c>
      <c r="N10" s="8">
        <f>7685+660.13</f>
        <v>8345.13</v>
      </c>
      <c r="O10" s="8">
        <f>7155+616.79</f>
        <v>7771.79</v>
      </c>
      <c r="P10" s="8">
        <f>7685+633.5</f>
        <v>8318.5</v>
      </c>
      <c r="Q10" s="8">
        <f>7685+540.57</f>
        <v>8225.57</v>
      </c>
      <c r="R10" s="8">
        <f>7738+687.77</f>
        <v>8425.77</v>
      </c>
      <c r="S10" s="8">
        <f>7738+511.23</f>
        <v>8249.23</v>
      </c>
      <c r="T10" s="8">
        <f>7791+417.42</f>
        <v>8208.42</v>
      </c>
      <c r="U10" s="8">
        <f>7791+484.58</f>
        <v>8275.58</v>
      </c>
      <c r="V10" s="16">
        <f>7738+442.62</f>
        <v>8180.62</v>
      </c>
      <c r="W10" s="48">
        <f>SUM(K10:V10)</f>
        <v>97427.31</v>
      </c>
      <c r="X10" s="74">
        <f>SUM(C10:V10)</f>
        <v>799117.4</v>
      </c>
      <c r="AA10" s="66"/>
    </row>
    <row r="11" spans="1:24" ht="14.25" customHeight="1" thickBot="1">
      <c r="A11" s="39" t="s">
        <v>30</v>
      </c>
      <c r="B11" s="34" t="s">
        <v>59</v>
      </c>
      <c r="C11" s="46">
        <v>74751.7</v>
      </c>
      <c r="D11" s="63">
        <v>33448.9</v>
      </c>
      <c r="E11" s="46">
        <f>3012.47+5378.54</f>
        <v>8391.01</v>
      </c>
      <c r="F11" s="46">
        <f>5577.59+4034.97</f>
        <v>9612.56</v>
      </c>
      <c r="G11" s="46"/>
      <c r="H11" s="46">
        <v>5802.48</v>
      </c>
      <c r="I11" s="46">
        <v>9135.99</v>
      </c>
      <c r="J11" s="46">
        <v>0</v>
      </c>
      <c r="K11" s="9"/>
      <c r="L11" s="10"/>
      <c r="M11" s="10"/>
      <c r="N11" s="10"/>
      <c r="O11" s="10">
        <v>1500</v>
      </c>
      <c r="P11" s="10"/>
      <c r="Q11" s="10"/>
      <c r="R11" s="10"/>
      <c r="S11" s="10"/>
      <c r="T11" s="10"/>
      <c r="U11" s="10"/>
      <c r="V11" s="17"/>
      <c r="W11" s="48">
        <f aca="true" t="shared" si="3" ref="W11:W26">SUM(K11:V11)</f>
        <v>1500</v>
      </c>
      <c r="X11" s="74">
        <f>SUM(C11:V11)</f>
        <v>142642.63999999998</v>
      </c>
    </row>
    <row r="12" spans="1:24" ht="13.5" customHeight="1" thickBot="1">
      <c r="A12" s="39" t="s">
        <v>31</v>
      </c>
      <c r="B12" s="34" t="s">
        <v>52</v>
      </c>
      <c r="C12" s="46">
        <v>40984.36</v>
      </c>
      <c r="D12" s="63">
        <v>34065.51</v>
      </c>
      <c r="E12" s="46">
        <v>18841.11</v>
      </c>
      <c r="F12" s="46">
        <v>3777.31</v>
      </c>
      <c r="G12" s="46">
        <v>10220.91</v>
      </c>
      <c r="H12" s="46">
        <v>78059.14</v>
      </c>
      <c r="I12" s="46">
        <v>11792.21</v>
      </c>
      <c r="J12" s="46">
        <f>12783.78+7695.45</f>
        <v>20479.23</v>
      </c>
      <c r="K12" s="9">
        <v>346</v>
      </c>
      <c r="L12" s="10">
        <v>3757</v>
      </c>
      <c r="M12" s="10">
        <v>467.6</v>
      </c>
      <c r="N12" s="10">
        <v>4311.5</v>
      </c>
      <c r="O12" s="10">
        <v>8250.5</v>
      </c>
      <c r="P12" s="10">
        <v>107</v>
      </c>
      <c r="Q12" s="10">
        <v>757.25</v>
      </c>
      <c r="R12" s="10">
        <v>90</v>
      </c>
      <c r="S12" s="10">
        <v>120</v>
      </c>
      <c r="T12" s="10">
        <v>234</v>
      </c>
      <c r="U12" s="10">
        <v>76.21</v>
      </c>
      <c r="V12" s="17">
        <v>751.99</v>
      </c>
      <c r="W12" s="48">
        <f t="shared" si="3"/>
        <v>19269.05</v>
      </c>
      <c r="X12" s="74">
        <f aca="true" t="shared" si="4" ref="X12:X17">SUM(C12:V12)</f>
        <v>237488.83</v>
      </c>
    </row>
    <row r="13" spans="1:24" ht="14.25" customHeight="1" thickBot="1">
      <c r="A13" s="39" t="s">
        <v>62</v>
      </c>
      <c r="B13" s="34" t="s">
        <v>63</v>
      </c>
      <c r="C13" s="46"/>
      <c r="D13" s="63"/>
      <c r="E13" s="46"/>
      <c r="F13" s="46"/>
      <c r="G13" s="46"/>
      <c r="H13" s="46">
        <v>3500</v>
      </c>
      <c r="I13" s="46">
        <v>0</v>
      </c>
      <c r="J13" s="46">
        <v>2700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>
        <v>2700</v>
      </c>
      <c r="V13" s="17"/>
      <c r="W13" s="48">
        <f>SUM(K13:V13)</f>
        <v>2700</v>
      </c>
      <c r="X13" s="74">
        <f t="shared" si="4"/>
        <v>8900</v>
      </c>
    </row>
    <row r="14" spans="1:24" ht="27" customHeight="1" thickBot="1">
      <c r="A14" s="39" t="s">
        <v>32</v>
      </c>
      <c r="B14" s="34" t="s">
        <v>50</v>
      </c>
      <c r="C14" s="46">
        <v>0</v>
      </c>
      <c r="D14" s="63">
        <v>0</v>
      </c>
      <c r="E14" s="46">
        <v>256</v>
      </c>
      <c r="F14" s="46">
        <v>0</v>
      </c>
      <c r="G14" s="46">
        <v>1282.4</v>
      </c>
      <c r="H14" s="46">
        <v>0</v>
      </c>
      <c r="I14" s="46">
        <v>951</v>
      </c>
      <c r="J14" s="46">
        <v>614.94</v>
      </c>
      <c r="K14" s="9"/>
      <c r="L14" s="10">
        <v>78</v>
      </c>
      <c r="M14" s="10"/>
      <c r="N14" s="10"/>
      <c r="O14" s="10"/>
      <c r="P14" s="10"/>
      <c r="Q14" s="10"/>
      <c r="R14" s="10"/>
      <c r="S14" s="10"/>
      <c r="T14" s="10"/>
      <c r="U14" s="10"/>
      <c r="V14" s="17"/>
      <c r="W14" s="48">
        <f t="shared" si="3"/>
        <v>78</v>
      </c>
      <c r="X14" s="74">
        <f t="shared" si="4"/>
        <v>3182.34</v>
      </c>
    </row>
    <row r="15" spans="1:24" ht="15" customHeight="1" thickBot="1">
      <c r="A15" s="39" t="s">
        <v>33</v>
      </c>
      <c r="B15" s="34" t="s">
        <v>68</v>
      </c>
      <c r="C15" s="46">
        <v>6789.78</v>
      </c>
      <c r="D15" s="63">
        <v>8556.05</v>
      </c>
      <c r="E15" s="46">
        <v>6215.75</v>
      </c>
      <c r="F15" s="46">
        <v>0</v>
      </c>
      <c r="G15" s="46"/>
      <c r="H15" s="46">
        <v>0</v>
      </c>
      <c r="I15" s="46">
        <v>0</v>
      </c>
      <c r="J15" s="46">
        <v>34427</v>
      </c>
      <c r="K15" s="9">
        <v>3363.37</v>
      </c>
      <c r="L15" s="9">
        <v>3363.37</v>
      </c>
      <c r="M15" s="9">
        <v>3363.37</v>
      </c>
      <c r="N15" s="9">
        <v>3363.37</v>
      </c>
      <c r="O15" s="9">
        <v>3363.37</v>
      </c>
      <c r="P15" s="9">
        <v>3363.37</v>
      </c>
      <c r="Q15" s="10">
        <v>3531.53</v>
      </c>
      <c r="R15" s="10"/>
      <c r="S15" s="10"/>
      <c r="T15" s="10"/>
      <c r="U15" s="10"/>
      <c r="V15" s="10"/>
      <c r="W15" s="48">
        <f t="shared" si="3"/>
        <v>23711.749999999996</v>
      </c>
      <c r="X15" s="74">
        <f t="shared" si="4"/>
        <v>79700.32999999999</v>
      </c>
    </row>
    <row r="16" spans="1:24" ht="13.5" customHeight="1" thickBot="1">
      <c r="A16" s="39"/>
      <c r="B16" s="34" t="s">
        <v>70</v>
      </c>
      <c r="C16" s="46"/>
      <c r="D16" s="63"/>
      <c r="E16" s="46"/>
      <c r="F16" s="46"/>
      <c r="G16" s="46"/>
      <c r="H16" s="46"/>
      <c r="I16" s="46"/>
      <c r="J16" s="46">
        <v>1170.27</v>
      </c>
      <c r="K16" s="9">
        <v>100.44</v>
      </c>
      <c r="L16" s="9">
        <v>100.44</v>
      </c>
      <c r="M16" s="9">
        <v>100.44</v>
      </c>
      <c r="N16" s="9">
        <v>100.44</v>
      </c>
      <c r="O16" s="9">
        <v>100.44</v>
      </c>
      <c r="P16" s="9">
        <v>100.44</v>
      </c>
      <c r="Q16" s="10">
        <v>101.05</v>
      </c>
      <c r="R16" s="10">
        <v>101.05</v>
      </c>
      <c r="S16" s="10">
        <v>101.05</v>
      </c>
      <c r="T16" s="10">
        <v>101.05</v>
      </c>
      <c r="U16" s="10">
        <v>101.05</v>
      </c>
      <c r="V16" s="10">
        <v>101.05</v>
      </c>
      <c r="W16" s="48">
        <f>SUM(K16:V16)</f>
        <v>1208.9399999999998</v>
      </c>
      <c r="X16" s="74">
        <f t="shared" si="4"/>
        <v>2379.210000000001</v>
      </c>
    </row>
    <row r="17" spans="1:24" ht="13.5" customHeight="1" thickBot="1">
      <c r="A17" s="39"/>
      <c r="B17" s="34" t="s">
        <v>69</v>
      </c>
      <c r="C17" s="46"/>
      <c r="D17" s="63"/>
      <c r="E17" s="46"/>
      <c r="F17" s="46"/>
      <c r="G17" s="46"/>
      <c r="H17" s="46"/>
      <c r="I17" s="46"/>
      <c r="J17" s="46">
        <v>6228.34</v>
      </c>
      <c r="K17" s="9">
        <v>447.23</v>
      </c>
      <c r="L17" s="9">
        <v>447.23</v>
      </c>
      <c r="M17" s="9">
        <v>447.23</v>
      </c>
      <c r="N17" s="9">
        <v>447.23</v>
      </c>
      <c r="O17" s="9">
        <v>447.23</v>
      </c>
      <c r="P17" s="9">
        <v>447.23</v>
      </c>
      <c r="Q17" s="10">
        <v>328.78</v>
      </c>
      <c r="R17" s="10">
        <v>355.45</v>
      </c>
      <c r="S17" s="10">
        <v>460.4</v>
      </c>
      <c r="T17" s="10">
        <v>461.78</v>
      </c>
      <c r="U17" s="10">
        <v>459.82</v>
      </c>
      <c r="V17" s="10">
        <v>461.78</v>
      </c>
      <c r="W17" s="48">
        <f>SUM(K17:V17)</f>
        <v>5211.389999999999</v>
      </c>
      <c r="X17" s="74">
        <f t="shared" si="4"/>
        <v>11439.73</v>
      </c>
    </row>
    <row r="18" spans="1:24" ht="14.25" customHeight="1" thickBot="1">
      <c r="A18" s="39"/>
      <c r="B18" s="34" t="s">
        <v>71</v>
      </c>
      <c r="C18" s="46"/>
      <c r="D18" s="63"/>
      <c r="E18" s="46"/>
      <c r="F18" s="46"/>
      <c r="G18" s="46"/>
      <c r="H18" s="46"/>
      <c r="I18" s="46"/>
      <c r="J18" s="46">
        <v>1019.18</v>
      </c>
      <c r="K18" s="9">
        <v>146.09</v>
      </c>
      <c r="L18" s="9">
        <v>146.09</v>
      </c>
      <c r="M18" s="9">
        <v>146.09</v>
      </c>
      <c r="N18" s="9">
        <v>146.09</v>
      </c>
      <c r="O18" s="9">
        <v>146.09</v>
      </c>
      <c r="P18" s="9">
        <v>146.09</v>
      </c>
      <c r="Q18" s="10">
        <v>147.34</v>
      </c>
      <c r="R18" s="10">
        <v>147.34</v>
      </c>
      <c r="S18" s="10">
        <v>147.34</v>
      </c>
      <c r="T18" s="10">
        <v>147.34</v>
      </c>
      <c r="U18" s="10">
        <v>147.34</v>
      </c>
      <c r="V18" s="10">
        <v>147.34</v>
      </c>
      <c r="W18" s="48">
        <f>SUM(K18:V18)</f>
        <v>1760.5799999999997</v>
      </c>
      <c r="X18" s="74">
        <f aca="true" t="shared" si="5" ref="X18:X24">SUM(C18:V18)</f>
        <v>2779.76</v>
      </c>
    </row>
    <row r="19" spans="1:24" ht="15" customHeight="1" thickBot="1">
      <c r="A19" s="39" t="s">
        <v>34</v>
      </c>
      <c r="B19" s="34" t="s">
        <v>72</v>
      </c>
      <c r="C19" s="46">
        <v>1572.89</v>
      </c>
      <c r="D19" s="63">
        <v>830.02</v>
      </c>
      <c r="E19" s="46">
        <v>830.96</v>
      </c>
      <c r="F19" s="46">
        <v>733.43</v>
      </c>
      <c r="G19" s="46">
        <v>855.69</v>
      </c>
      <c r="H19" s="46">
        <v>894.02</v>
      </c>
      <c r="I19" s="46">
        <v>680.32</v>
      </c>
      <c r="J19" s="46">
        <v>988.07</v>
      </c>
      <c r="K19" s="9"/>
      <c r="L19" s="10"/>
      <c r="M19" s="10">
        <v>179.64</v>
      </c>
      <c r="N19" s="10"/>
      <c r="O19" s="10"/>
      <c r="P19" s="10">
        <v>200.8</v>
      </c>
      <c r="Q19" s="10"/>
      <c r="R19" s="10"/>
      <c r="S19" s="10">
        <v>215.15</v>
      </c>
      <c r="T19" s="10"/>
      <c r="U19" s="10"/>
      <c r="V19" s="17">
        <v>200.8</v>
      </c>
      <c r="W19" s="48">
        <f t="shared" si="3"/>
        <v>796.3900000000001</v>
      </c>
      <c r="X19" s="74">
        <f t="shared" si="5"/>
        <v>8181.79</v>
      </c>
    </row>
    <row r="20" spans="1:24" ht="25.5" customHeight="1" thickBot="1">
      <c r="A20" s="39" t="s">
        <v>35</v>
      </c>
      <c r="B20" s="34" t="s">
        <v>73</v>
      </c>
      <c r="C20" s="46">
        <v>4526.15</v>
      </c>
      <c r="D20" s="63">
        <v>16111.53</v>
      </c>
      <c r="E20" s="46">
        <v>20371.28</v>
      </c>
      <c r="F20" s="46">
        <v>18821.14</v>
      </c>
      <c r="G20" s="46">
        <v>13499.6</v>
      </c>
      <c r="H20" s="46">
        <v>15911.76</v>
      </c>
      <c r="I20" s="46">
        <v>17153.07</v>
      </c>
      <c r="J20" s="46">
        <v>17038.81</v>
      </c>
      <c r="K20" s="9">
        <v>1485.59</v>
      </c>
      <c r="L20" s="10">
        <v>1362.86</v>
      </c>
      <c r="M20" s="10">
        <v>1817.54</v>
      </c>
      <c r="N20" s="10">
        <v>1417.3</v>
      </c>
      <c r="O20" s="10">
        <v>1192.07</v>
      </c>
      <c r="P20" s="10">
        <v>1727.75</v>
      </c>
      <c r="Q20" s="10">
        <v>1405.41</v>
      </c>
      <c r="R20" s="10">
        <v>1437.25</v>
      </c>
      <c r="S20" s="10">
        <v>1181.22</v>
      </c>
      <c r="T20" s="10">
        <v>1772.82</v>
      </c>
      <c r="U20" s="10">
        <v>1567.35</v>
      </c>
      <c r="V20" s="17">
        <v>1530.54</v>
      </c>
      <c r="W20" s="48">
        <f t="shared" si="3"/>
        <v>17897.7</v>
      </c>
      <c r="X20" s="74">
        <f t="shared" si="5"/>
        <v>141331.04000000004</v>
      </c>
    </row>
    <row r="21" spans="1:24" ht="25.5" customHeight="1" thickBot="1">
      <c r="A21" s="39" t="s">
        <v>36</v>
      </c>
      <c r="B21" s="34" t="s">
        <v>60</v>
      </c>
      <c r="C21" s="46">
        <v>8001.13</v>
      </c>
      <c r="D21" s="63">
        <v>8776.14</v>
      </c>
      <c r="E21" s="46">
        <v>3246.33</v>
      </c>
      <c r="F21" s="46">
        <v>1867.32</v>
      </c>
      <c r="G21" s="46">
        <v>5851.9</v>
      </c>
      <c r="H21" s="46">
        <v>2741.24</v>
      </c>
      <c r="I21" s="46">
        <v>2389.71</v>
      </c>
      <c r="J21" s="46">
        <v>1863.95</v>
      </c>
      <c r="K21" s="9">
        <v>146.83</v>
      </c>
      <c r="L21" s="10">
        <v>98.58</v>
      </c>
      <c r="M21" s="10">
        <v>70</v>
      </c>
      <c r="N21" s="10">
        <v>98.36</v>
      </c>
      <c r="O21" s="10">
        <v>91.33</v>
      </c>
      <c r="P21" s="10">
        <v>108.91</v>
      </c>
      <c r="Q21" s="10">
        <v>333.05</v>
      </c>
      <c r="R21" s="10">
        <v>85.27</v>
      </c>
      <c r="S21" s="10">
        <v>105.58</v>
      </c>
      <c r="T21" s="10">
        <v>91.42</v>
      </c>
      <c r="U21" s="10">
        <v>437.12</v>
      </c>
      <c r="V21" s="17">
        <v>138.96</v>
      </c>
      <c r="W21" s="48">
        <f t="shared" si="3"/>
        <v>1805.4099999999999</v>
      </c>
      <c r="X21" s="74">
        <f t="shared" si="5"/>
        <v>36543.130000000005</v>
      </c>
    </row>
    <row r="22" spans="1:24" ht="33" customHeight="1" thickBot="1">
      <c r="A22" s="39" t="s">
        <v>37</v>
      </c>
      <c r="B22" s="34" t="s">
        <v>61</v>
      </c>
      <c r="C22" s="46">
        <v>6904.77</v>
      </c>
      <c r="D22" s="63">
        <v>14234.05</v>
      </c>
      <c r="E22" s="46">
        <v>13654.25</v>
      </c>
      <c r="F22" s="46">
        <v>18317.74</v>
      </c>
      <c r="G22" s="46">
        <v>15745.04</v>
      </c>
      <c r="H22" s="46">
        <v>20528.94</v>
      </c>
      <c r="I22" s="46">
        <v>17480.16</v>
      </c>
      <c r="J22" s="46">
        <v>18382.05</v>
      </c>
      <c r="K22" s="9">
        <f>73.48+525.57+811.93</f>
        <v>1410.98</v>
      </c>
      <c r="L22" s="10">
        <f>770.86+80.54+711.01</f>
        <v>1562.4099999999999</v>
      </c>
      <c r="M22" s="10">
        <f>780.78+79.83+771.62</f>
        <v>1632.23</v>
      </c>
      <c r="N22" s="10">
        <f>822.47+80.91+601.11</f>
        <v>1504.49</v>
      </c>
      <c r="O22" s="10">
        <f>997.21+72.69+469.1</f>
        <v>1539</v>
      </c>
      <c r="P22" s="10">
        <f>800.86+68.18+447.62</f>
        <v>1316.6599999999999</v>
      </c>
      <c r="Q22" s="10">
        <f>76.72+520.15+1010.65</f>
        <v>1607.52</v>
      </c>
      <c r="R22" s="10">
        <f>81.46+790.47+783.49</f>
        <v>1655.42</v>
      </c>
      <c r="S22" s="10">
        <f>912.83+64.09+611.34</f>
        <v>1588.2600000000002</v>
      </c>
      <c r="T22" s="10">
        <f>85.54+1099.93+889.67</f>
        <v>2075.14</v>
      </c>
      <c r="U22" s="10">
        <f>70.09+613.54+1274.53</f>
        <v>1958.1599999999999</v>
      </c>
      <c r="V22" s="17">
        <f>1157.31+81.06+1038.34</f>
        <v>2276.71</v>
      </c>
      <c r="W22" s="48">
        <f t="shared" si="3"/>
        <v>20126.98</v>
      </c>
      <c r="X22" s="74">
        <f t="shared" si="5"/>
        <v>145373.98000000004</v>
      </c>
    </row>
    <row r="23" spans="1:24" ht="15.75" customHeight="1" thickBot="1">
      <c r="A23" s="39" t="s">
        <v>53</v>
      </c>
      <c r="B23" s="34" t="s">
        <v>8</v>
      </c>
      <c r="C23" s="46">
        <v>72195.49</v>
      </c>
      <c r="D23" s="63">
        <v>136238.86</v>
      </c>
      <c r="E23" s="46">
        <v>170892.2</v>
      </c>
      <c r="F23" s="46">
        <v>180978.16</v>
      </c>
      <c r="G23" s="46">
        <v>183446.28</v>
      </c>
      <c r="H23" s="46">
        <v>205812.5</v>
      </c>
      <c r="I23" s="46">
        <v>195114.88</v>
      </c>
      <c r="J23" s="46">
        <v>193504.61</v>
      </c>
      <c r="K23" s="9">
        <f>35488.27-16727.56-1000</f>
        <v>17760.709999999995</v>
      </c>
      <c r="L23" s="10">
        <f>37020.32-20019.52</f>
        <v>17000.8</v>
      </c>
      <c r="M23" s="10">
        <f>34328.14-17220.34</f>
        <v>17107.8</v>
      </c>
      <c r="N23" s="10">
        <f>38715.93-21107.29</f>
        <v>17608.64</v>
      </c>
      <c r="O23" s="10">
        <f>50013.99-25836.69-7695.45</f>
        <v>16481.85</v>
      </c>
      <c r="P23" s="10">
        <f>33481.53-17197.45</f>
        <v>16284.079999999998</v>
      </c>
      <c r="Q23" s="10">
        <f>34769.45-17861.27</f>
        <v>16908.179999999997</v>
      </c>
      <c r="R23" s="10">
        <f>30858.35-13620.97</f>
        <v>17237.379999999997</v>
      </c>
      <c r="S23" s="10">
        <f>29482.06-13427.14</f>
        <v>16054.920000000002</v>
      </c>
      <c r="T23" s="10">
        <f>29619.3-14267.51+1000</f>
        <v>16351.789999999999</v>
      </c>
      <c r="U23" s="10">
        <f>34769.06-17023.51</f>
        <v>17745.55</v>
      </c>
      <c r="V23" s="17">
        <f>32658.92-14909.46-0.04</f>
        <v>17749.42</v>
      </c>
      <c r="W23" s="48">
        <f t="shared" si="3"/>
        <v>204291.12</v>
      </c>
      <c r="X23" s="74">
        <f t="shared" si="5"/>
        <v>1542474.0999999999</v>
      </c>
    </row>
    <row r="24" spans="1:24" ht="13.5" customHeight="1" thickBot="1">
      <c r="A24" s="39" t="s">
        <v>54</v>
      </c>
      <c r="B24" s="35" t="s">
        <v>3</v>
      </c>
      <c r="C24" s="47">
        <v>11079.54</v>
      </c>
      <c r="D24" s="64">
        <v>22981.85</v>
      </c>
      <c r="E24" s="47">
        <v>15626.14</v>
      </c>
      <c r="F24" s="47">
        <v>13648.8</v>
      </c>
      <c r="G24" s="47">
        <v>14710.32</v>
      </c>
      <c r="H24" s="47">
        <v>15391.35</v>
      </c>
      <c r="I24" s="47">
        <v>13669.54</v>
      </c>
      <c r="J24" s="47">
        <v>15275.9</v>
      </c>
      <c r="K24" s="11">
        <f>21.03+171.71+1267.19</f>
        <v>1459.93</v>
      </c>
      <c r="L24" s="12">
        <f>48.45+139.88+1065.49</f>
        <v>1253.82</v>
      </c>
      <c r="M24" s="12">
        <f>146.16+1094.16</f>
        <v>1240.3200000000002</v>
      </c>
      <c r="N24" s="12">
        <f>161.89+1211.49</f>
        <v>1373.38</v>
      </c>
      <c r="O24" s="12">
        <f>99.55+157.96+1177.36</f>
        <v>1434.87</v>
      </c>
      <c r="P24" s="12">
        <f>154.99+1205.71</f>
        <v>1360.7</v>
      </c>
      <c r="Q24" s="12">
        <f>83+159.48+1181.29</f>
        <v>1423.77</v>
      </c>
      <c r="R24" s="12">
        <f>85+152.22+1086.2</f>
        <v>1323.42</v>
      </c>
      <c r="S24" s="12">
        <f>106+33.03+1119.88</f>
        <v>1258.91</v>
      </c>
      <c r="T24" s="12">
        <f>9.3+28.18+1138.06</f>
        <v>1175.54</v>
      </c>
      <c r="U24" s="12">
        <f>37.33+1263.55</f>
        <v>1300.8799999999999</v>
      </c>
      <c r="V24" s="19">
        <f>25.09+1094.58</f>
        <v>1119.6699999999998</v>
      </c>
      <c r="W24" s="48">
        <f t="shared" si="3"/>
        <v>15725.21</v>
      </c>
      <c r="X24" s="74">
        <f t="shared" si="5"/>
        <v>138108.65000000005</v>
      </c>
    </row>
    <row r="25" spans="1:24" ht="16.5" customHeight="1" thickBot="1">
      <c r="A25" s="39"/>
      <c r="B25" s="42" t="s">
        <v>57</v>
      </c>
      <c r="C25" s="67"/>
      <c r="D25" s="68"/>
      <c r="E25" s="67"/>
      <c r="F25" s="67"/>
      <c r="G25" s="69">
        <f>G7*5%</f>
        <v>18286.196</v>
      </c>
      <c r="H25" s="69">
        <f>H7*5%</f>
        <v>18276.03</v>
      </c>
      <c r="I25" s="70">
        <f>I7*5%</f>
        <v>18245.762</v>
      </c>
      <c r="J25" s="70">
        <f>J7*5%</f>
        <v>18216.736</v>
      </c>
      <c r="K25" s="69">
        <f>K7*5%</f>
        <v>1517.402</v>
      </c>
      <c r="L25" s="69">
        <f aca="true" t="shared" si="6" ref="L25:V25">L7*5%</f>
        <v>1517.402</v>
      </c>
      <c r="M25" s="69">
        <f t="shared" si="6"/>
        <v>1517.402</v>
      </c>
      <c r="N25" s="69">
        <f t="shared" si="6"/>
        <v>1517.402</v>
      </c>
      <c r="O25" s="69">
        <f t="shared" si="6"/>
        <v>1517.402</v>
      </c>
      <c r="P25" s="69">
        <f t="shared" si="6"/>
        <v>1517.402</v>
      </c>
      <c r="Q25" s="69">
        <f t="shared" si="6"/>
        <v>1517.402</v>
      </c>
      <c r="R25" s="69">
        <f t="shared" si="6"/>
        <v>1517.402</v>
      </c>
      <c r="S25" s="69">
        <f t="shared" si="6"/>
        <v>1517.402</v>
      </c>
      <c r="T25" s="69">
        <f t="shared" si="6"/>
        <v>1517.1260000000002</v>
      </c>
      <c r="U25" s="69">
        <f t="shared" si="6"/>
        <v>1517.1260000000002</v>
      </c>
      <c r="V25" s="69">
        <f t="shared" si="6"/>
        <v>1517.1260000000002</v>
      </c>
      <c r="W25" s="70">
        <f t="shared" si="3"/>
        <v>18207.996000000003</v>
      </c>
      <c r="X25" s="75"/>
    </row>
    <row r="26" spans="1:24" ht="15.75" customHeight="1" thickBot="1">
      <c r="A26" s="39" t="s">
        <v>38</v>
      </c>
      <c r="B26" s="53" t="s">
        <v>48</v>
      </c>
      <c r="C26" s="54"/>
      <c r="D26" s="65"/>
      <c r="E26" s="54"/>
      <c r="F26" s="54"/>
      <c r="G26" s="54"/>
      <c r="H26" s="54"/>
      <c r="I26" s="54"/>
      <c r="J26" s="76">
        <f aca="true" t="shared" si="7" ref="J26:V26">SUM(J7+J8-J9)-J25</f>
        <v>-22844.146000000033</v>
      </c>
      <c r="K26" s="71">
        <f t="shared" si="7"/>
        <v>-1600.4719999999998</v>
      </c>
      <c r="L26" s="71">
        <f t="shared" si="7"/>
        <v>-4132.522000000003</v>
      </c>
      <c r="M26" s="71">
        <f t="shared" si="7"/>
        <v>-1440.341999999995</v>
      </c>
      <c r="N26" s="71">
        <f t="shared" si="7"/>
        <v>-5828.132000000003</v>
      </c>
      <c r="O26" s="71">
        <f t="shared" si="7"/>
        <v>-9430.742000000004</v>
      </c>
      <c r="P26" s="71">
        <f t="shared" si="7"/>
        <v>-593.7319999999945</v>
      </c>
      <c r="Q26" s="71">
        <f t="shared" si="7"/>
        <v>-1697.1319999999887</v>
      </c>
      <c r="R26" s="71">
        <f t="shared" si="7"/>
        <v>-1317.5619999999963</v>
      </c>
      <c r="S26" s="71">
        <f t="shared" si="7"/>
        <v>58.728000000000975</v>
      </c>
      <c r="T26" s="71">
        <f t="shared" si="7"/>
        <v>-1083.7959999999985</v>
      </c>
      <c r="U26" s="71">
        <f t="shared" si="7"/>
        <v>-5233.555999999997</v>
      </c>
      <c r="V26" s="71">
        <f t="shared" si="7"/>
        <v>-3123.375999999993</v>
      </c>
      <c r="W26" s="70">
        <f t="shared" si="3"/>
        <v>-35422.63599999998</v>
      </c>
      <c r="X26" s="75"/>
    </row>
    <row r="27" spans="1:24" ht="22.5" customHeight="1" thickBot="1">
      <c r="A27" s="39" t="s">
        <v>39</v>
      </c>
      <c r="B27" s="84" t="s">
        <v>22</v>
      </c>
      <c r="C27" s="85">
        <v>47369.64</v>
      </c>
      <c r="D27" s="86">
        <f>SUM(D7-D9)</f>
        <v>13943.95000000007</v>
      </c>
      <c r="E27" s="87">
        <f>SUM(E7-E9)</f>
        <v>28745.429999999993</v>
      </c>
      <c r="F27" s="87">
        <f>SUM(F7-F9)</f>
        <v>28806.389999999956</v>
      </c>
      <c r="G27" s="88">
        <f>SUM(G7-G9)-G25</f>
        <v>-1098.196</v>
      </c>
      <c r="H27" s="88">
        <f>SUM(H7-H9)-H25</f>
        <v>-98065.07000000004</v>
      </c>
      <c r="I27" s="89">
        <f>SUM(I7-I9)-I25</f>
        <v>-18316.48200000003</v>
      </c>
      <c r="J27" s="88">
        <f>SUM(J7+J8-J9)-J25</f>
        <v>-22844.146000000033</v>
      </c>
      <c r="K27" s="90">
        <f>SUM(K7+K8-K9)-K25</f>
        <v>-1600.4719999999998</v>
      </c>
      <c r="L27" s="91">
        <f>SUM(L26+K27)</f>
        <v>-5732.994000000002</v>
      </c>
      <c r="M27" s="91">
        <f aca="true" t="shared" si="8" ref="M27:V27">SUM(M26+L27)</f>
        <v>-7173.3359999999975</v>
      </c>
      <c r="N27" s="91">
        <f t="shared" si="8"/>
        <v>-13001.468</v>
      </c>
      <c r="O27" s="91">
        <f t="shared" si="8"/>
        <v>-22432.210000000006</v>
      </c>
      <c r="P27" s="91">
        <f t="shared" si="8"/>
        <v>-23025.942000000003</v>
      </c>
      <c r="Q27" s="91">
        <f t="shared" si="8"/>
        <v>-24723.073999999993</v>
      </c>
      <c r="R27" s="91">
        <f t="shared" si="8"/>
        <v>-26040.63599999999</v>
      </c>
      <c r="S27" s="91">
        <f t="shared" si="8"/>
        <v>-25981.90799999999</v>
      </c>
      <c r="T27" s="91">
        <f t="shared" si="8"/>
        <v>-27065.703999999987</v>
      </c>
      <c r="U27" s="91">
        <f t="shared" si="8"/>
        <v>-32299.259999999984</v>
      </c>
      <c r="V27" s="91">
        <f t="shared" si="8"/>
        <v>-35422.63599999998</v>
      </c>
      <c r="W27" s="87"/>
      <c r="X27" s="92"/>
    </row>
    <row r="28" spans="1:24" ht="0.75" customHeight="1" thickBot="1">
      <c r="A28" s="39" t="s">
        <v>40</v>
      </c>
      <c r="B28" s="42" t="s">
        <v>23</v>
      </c>
      <c r="C28" s="42">
        <v>47369.64</v>
      </c>
      <c r="D28" s="18">
        <f>SUM(D7-D9,C28)</f>
        <v>61313.59000000007</v>
      </c>
      <c r="E28" s="48">
        <f>SUM(E7-E9,D28)</f>
        <v>90059.02000000006</v>
      </c>
      <c r="F28" s="48">
        <f>SUM(F7-F9,E28)</f>
        <v>118865.41000000002</v>
      </c>
      <c r="G28" s="69">
        <f>SUM(G27+F28)</f>
        <v>117767.21400000002</v>
      </c>
      <c r="H28" s="69">
        <f>SUM(H27+G28)</f>
        <v>19702.143999999986</v>
      </c>
      <c r="I28" s="69">
        <f>SUM(I27+H28)</f>
        <v>1385.6619999999566</v>
      </c>
      <c r="J28" s="69">
        <f>SUM(J27+I28)</f>
        <v>-21458.484000000077</v>
      </c>
      <c r="K28" s="69">
        <f>SUM(K27+J28)</f>
        <v>-23058.95600000008</v>
      </c>
      <c r="L28" s="72">
        <f>SUM(L26+K28)</f>
        <v>-27191.478000000083</v>
      </c>
      <c r="M28" s="72">
        <f aca="true" t="shared" si="9" ref="M28:U28">SUM(M26+L28)</f>
        <v>-28631.82000000008</v>
      </c>
      <c r="N28" s="72">
        <f t="shared" si="9"/>
        <v>-34459.952000000085</v>
      </c>
      <c r="O28" s="72">
        <f t="shared" si="9"/>
        <v>-43890.69400000009</v>
      </c>
      <c r="P28" s="72">
        <f t="shared" si="9"/>
        <v>-44484.42600000009</v>
      </c>
      <c r="Q28" s="72">
        <f t="shared" si="9"/>
        <v>-46181.55800000008</v>
      </c>
      <c r="R28" s="72">
        <f t="shared" si="9"/>
        <v>-47499.120000000075</v>
      </c>
      <c r="S28" s="72">
        <f t="shared" si="9"/>
        <v>-47440.39200000007</v>
      </c>
      <c r="T28" s="72">
        <f t="shared" si="9"/>
        <v>-48524.18800000007</v>
      </c>
      <c r="U28" s="72">
        <f t="shared" si="9"/>
        <v>-53757.744000000064</v>
      </c>
      <c r="V28" s="72">
        <f>SUM(V26+U28)</f>
        <v>-56881.12000000005</v>
      </c>
      <c r="W28" s="48"/>
      <c r="X28" s="57"/>
    </row>
    <row r="29" spans="1:24" ht="9" customHeight="1" hidden="1" thickBot="1">
      <c r="A29" s="39" t="s">
        <v>40</v>
      </c>
      <c r="B29" s="42" t="s">
        <v>6</v>
      </c>
      <c r="C29" s="43"/>
      <c r="D29" s="43"/>
      <c r="E29" s="58"/>
      <c r="F29" s="58"/>
      <c r="G29" s="58"/>
      <c r="H29" s="58"/>
      <c r="I29" s="58"/>
      <c r="J29" s="58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0"/>
      <c r="W29" s="51"/>
      <c r="X29" s="23"/>
    </row>
    <row r="30" spans="1:24" ht="15" customHeight="1" hidden="1" thickBot="1">
      <c r="A30" s="39" t="s">
        <v>41</v>
      </c>
      <c r="B30" s="36" t="s">
        <v>24</v>
      </c>
      <c r="C30" s="43"/>
      <c r="D30" s="43"/>
      <c r="E30" s="58"/>
      <c r="F30" s="58"/>
      <c r="G30" s="58"/>
      <c r="H30" s="58"/>
      <c r="I30" s="58"/>
      <c r="J30" s="58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0"/>
      <c r="W30" s="48"/>
      <c r="X30" s="22"/>
    </row>
    <row r="31" spans="1:24" ht="0.75" customHeight="1" hidden="1" thickBot="1">
      <c r="A31" s="40" t="s">
        <v>42</v>
      </c>
      <c r="B31" s="37" t="s">
        <v>45</v>
      </c>
      <c r="C31" s="44"/>
      <c r="D31" s="44"/>
      <c r="E31" s="59"/>
      <c r="F31" s="59"/>
      <c r="G31" s="59"/>
      <c r="H31" s="59"/>
      <c r="I31" s="59"/>
      <c r="J31" s="59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>
        <f>SUM(V27-V29)</f>
        <v>-35422.63599999998</v>
      </c>
      <c r="W31" s="52"/>
      <c r="X31" s="29"/>
    </row>
    <row r="32" spans="1:24" ht="24" customHeight="1" hidden="1" thickBot="1">
      <c r="A32" s="40" t="s">
        <v>44</v>
      </c>
      <c r="B32" s="37" t="s">
        <v>25</v>
      </c>
      <c r="C32" s="44"/>
      <c r="D32" s="44"/>
      <c r="E32" s="59"/>
      <c r="F32" s="59"/>
      <c r="G32" s="59"/>
      <c r="H32" s="59"/>
      <c r="I32" s="59"/>
      <c r="J32" s="59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>
        <f>SUM(V28-V29)</f>
        <v>-56881.12000000005</v>
      </c>
      <c r="W32" s="52"/>
      <c r="X32" s="29"/>
    </row>
    <row r="33" spans="3:24" ht="24" customHeight="1" hidden="1">
      <c r="C33" s="24"/>
      <c r="D33" s="24"/>
      <c r="E33" s="24"/>
      <c r="F33" s="24"/>
      <c r="G33" s="24"/>
      <c r="H33" s="24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</row>
    <row r="34" ht="12.75" hidden="1"/>
    <row r="35" ht="12.75" hidden="1"/>
    <row r="36" ht="12.75" hidden="1"/>
    <row r="37" ht="12.75">
      <c r="B37" t="s">
        <v>64</v>
      </c>
    </row>
    <row r="41" ht="12.75" customHeight="1"/>
    <row r="42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2019-02-11T12:48:42Z</cp:lastPrinted>
  <dcterms:created xsi:type="dcterms:W3CDTF">2011-06-16T11:06:26Z</dcterms:created>
  <dcterms:modified xsi:type="dcterms:W3CDTF">2019-02-14T05:37:32Z</dcterms:modified>
  <cp:category/>
  <cp:version/>
  <cp:contentType/>
  <cp:contentStatus/>
</cp:coreProperties>
</file>