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<sst xmlns="http://schemas.openxmlformats.org/spreadsheetml/2006/main" count="73" uniqueCount="73">
  <si>
    <t>СПРАВКА</t>
  </si>
  <si>
    <t xml:space="preserve">Начислено  </t>
  </si>
  <si>
    <t>Расходы</t>
  </si>
  <si>
    <t>Услуги РИРЦ</t>
  </si>
  <si>
    <t>Вывоз ТБО</t>
  </si>
  <si>
    <t>Тех.обслуж.газового обор.</t>
  </si>
  <si>
    <t>Наименование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</si>
  <si>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</si>
  <si>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</si>
  <si>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</si>
  <si>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</si>
  <si>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</si>
  <si>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</si>
  <si>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</si>
  <si>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</si>
  <si>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</si>
  <si>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</si>
  <si>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</si>
  <si>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</si>
  <si>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</si>
  <si>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</si>
  <si>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</si>
  <si>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</si>
  <si>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</si>
  <si>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</si>
  <si>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</si>
  <si>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</si>
  <si>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</si>
  <si>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</si>
  <si>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</si>
  <si>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</si>
  <si>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4.5</t>
  </si>
  <si>
    <t>4.7</t>
  </si>
  <si>
    <t>4.8</t>
  </si>
  <si>
    <t>4.9</t>
  </si>
  <si>
    <t>4.11</t>
  </si>
  <si>
    <t>6</t>
  </si>
  <si>
    <t>7</t>
  </si>
  <si>
    <t>8</t>
  </si>
  <si>
    <t>9</t>
  </si>
  <si>
    <t>10</t>
  </si>
  <si>
    <t>Финансовый результат по дому с начала года</t>
  </si>
  <si>
    <t>Благоустройство  территории</t>
  </si>
  <si>
    <t>11</t>
  </si>
  <si>
    <t>Результат за месяц</t>
  </si>
  <si>
    <t>Исполнитель /Викторова Л.С/</t>
  </si>
  <si>
    <t>4,12</t>
  </si>
  <si>
    <t>4.13</t>
  </si>
  <si>
    <t xml:space="preserve">Материалы </t>
  </si>
  <si>
    <t>4.14</t>
  </si>
  <si>
    <t>5</t>
  </si>
  <si>
    <t>4.15</t>
  </si>
  <si>
    <t>рентабельность 5%</t>
  </si>
  <si>
    <t>Итого за 2015</t>
  </si>
  <si>
    <t>Услуги сторонних орган.</t>
  </si>
  <si>
    <t>Дом по ул. Суворова  д. 17 вступил в ООО "Наш дом" с мая 2015 года                      тариф 11,5 руб</t>
  </si>
  <si>
    <t>по жилому дому г. Унеча ул. Суворова  д.17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</si>
  <si>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</si>
  <si>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</si>
  <si>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</si>
  <si>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 xml:space="preserve">Исполнитель вед. экономист Викторова Л.С. </t>
  </si>
  <si>
    <t>14385,49</t>
  </si>
  <si>
    <t>Итого за 2016</t>
  </si>
  <si>
    <t>20018,45</t>
  </si>
  <si>
    <t>Итого за 2017</t>
  </si>
  <si>
    <t>Начислено  СОИД</t>
  </si>
  <si>
    <t>4.6</t>
  </si>
  <si>
    <t>Электроэнергия СОИД</t>
  </si>
  <si>
    <t>20075,77</t>
  </si>
  <si>
    <t>Итого за 2018</t>
  </si>
  <si>
    <t>Всего за 2015-2018</t>
  </si>
  <si>
    <t>4.4</t>
  </si>
  <si>
    <t>Проверка вент.каналов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</si>
</sst>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9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97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19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7" xfId="0" applyFont="1" applyFill="1" applyBorder="1" applyAlignment="1">
      <alignment/>
    </xf>
    <xf numFmtId="0" fontId="20" fillId="2" borderId="24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5" xfId="0" applyFont="1" applyBorder="1" applyAlignment="1">
      <alignment horizontal="left" vertical="center" wrapText="1"/>
    </xf>
    <xf numFmtId="0" fontId="24" fillId="0" borderId="26" xfId="0" applyFont="1" applyBorder="1" applyAlignment="1">
      <alignment wrapText="1"/>
    </xf>
    <xf numFmtId="0" fontId="21" fillId="0" borderId="27" xfId="0" applyFont="1" applyBorder="1" applyAlignment="1">
      <alignment horizontal="left" wrapText="1"/>
    </xf>
    <xf numFmtId="49" fontId="21" fillId="0" borderId="26" xfId="0" applyNumberFormat="1" applyFont="1" applyBorder="1" applyAlignment="1">
      <alignment wrapText="1"/>
    </xf>
    <xf numFmtId="0" fontId="21" fillId="0" borderId="27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2" borderId="29" xfId="0" applyFont="1" applyFill="1" applyBorder="1" applyAlignment="1">
      <alignment wrapText="1"/>
    </xf>
    <xf numFmtId="49" fontId="0" fillId="0" borderId="30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21" fillId="0" borderId="33" xfId="0" applyFont="1" applyBorder="1" applyAlignment="1">
      <alignment wrapText="1"/>
    </xf>
    <xf numFmtId="49" fontId="0" fillId="0" borderId="34" xfId="0" applyNumberFormat="1" applyBorder="1" applyAlignment="1">
      <alignment horizontal="center"/>
    </xf>
    <xf numFmtId="0" fontId="23" fillId="0" borderId="25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2" borderId="25" xfId="0" applyFill="1" applyBorder="1" applyAlignment="1">
      <alignment/>
    </xf>
    <xf numFmtId="0" fontId="19" fillId="0" borderId="33" xfId="0" applyFont="1" applyBorder="1" applyAlignment="1">
      <alignment horizontal="center" vertical="center" wrapText="1"/>
    </xf>
    <xf numFmtId="0" fontId="21" fillId="0" borderId="33" xfId="0" applyFont="1" applyBorder="1" applyAlignment="1">
      <alignment/>
    </xf>
    <xf numFmtId="0" fontId="21" fillId="0" borderId="34" xfId="0" applyFont="1" applyBorder="1" applyAlignment="1">
      <alignment/>
    </xf>
    <xf numFmtId="0" fontId="20" fillId="2" borderId="34" xfId="0" applyFont="1" applyFill="1" applyBorder="1" applyAlignment="1">
      <alignment/>
    </xf>
    <xf numFmtId="0" fontId="21" fillId="0" borderId="30" xfId="0" applyFont="1" applyBorder="1" applyAlignment="1">
      <alignment/>
    </xf>
    <xf numFmtId="0" fontId="21" fillId="0" borderId="35" xfId="0" applyFont="1" applyBorder="1" applyAlignment="1">
      <alignment wrapText="1"/>
    </xf>
    <xf numFmtId="0" fontId="20" fillId="0" borderId="25" xfId="0" applyFont="1" applyBorder="1" applyAlignment="1">
      <alignment/>
    </xf>
    <xf numFmtId="2" fontId="21" fillId="0" borderId="25" xfId="0" applyNumberFormat="1" applyFont="1" applyBorder="1" applyAlignment="1">
      <alignment/>
    </xf>
    <xf numFmtId="2" fontId="21" fillId="0" borderId="33" xfId="0" applyNumberFormat="1" applyFont="1" applyBorder="1" applyAlignment="1">
      <alignment/>
    </xf>
    <xf numFmtId="2" fontId="21" fillId="0" borderId="36" xfId="0" applyNumberFormat="1" applyFont="1" applyBorder="1" applyAlignment="1">
      <alignment/>
    </xf>
    <xf numFmtId="2" fontId="21" fillId="0" borderId="37" xfId="0" applyNumberFormat="1" applyFont="1" applyBorder="1" applyAlignment="1">
      <alignment/>
    </xf>
    <xf numFmtId="2" fontId="21" fillId="0" borderId="38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2" fontId="20" fillId="0" borderId="25" xfId="0" applyNumberFormat="1" applyFont="1" applyBorder="1" applyAlignment="1">
      <alignment/>
    </xf>
    <xf numFmtId="2" fontId="21" fillId="0" borderId="39" xfId="0" applyNumberFormat="1" applyFont="1" applyBorder="1" applyAlignment="1">
      <alignment/>
    </xf>
    <xf numFmtId="0" fontId="21" fillId="0" borderId="40" xfId="0" applyFont="1" applyBorder="1" applyAlignment="1">
      <alignment/>
    </xf>
    <xf numFmtId="0" fontId="21" fillId="0" borderId="35" xfId="0" applyFont="1" applyBorder="1" applyAlignment="1">
      <alignment/>
    </xf>
    <xf numFmtId="2" fontId="21" fillId="0" borderId="41" xfId="0" applyNumberFormat="1" applyFont="1" applyBorder="1" applyAlignment="1">
      <alignment/>
    </xf>
    <xf numFmtId="0" fontId="21" fillId="2" borderId="24" xfId="0" applyFont="1" applyFill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0" borderId="42" xfId="0" applyFont="1" applyBorder="1" applyAlignment="1">
      <alignment wrapText="1"/>
    </xf>
    <xf numFmtId="0" fontId="21" fillId="0" borderId="43" xfId="0" applyFont="1" applyBorder="1" applyAlignment="1">
      <alignment/>
    </xf>
    <xf numFmtId="0" fontId="21" fillId="0" borderId="44" xfId="0" applyFont="1" applyBorder="1" applyAlignment="1">
      <alignment/>
    </xf>
    <xf numFmtId="49" fontId="21" fillId="0" borderId="45" xfId="0" applyNumberFormat="1" applyFont="1" applyBorder="1" applyAlignment="1">
      <alignment horizontal="right" wrapText="1"/>
    </xf>
    <xf numFmtId="0" fontId="21" fillId="0" borderId="31" xfId="0" applyFont="1" applyBorder="1" applyAlignment="1">
      <alignment horizontal="right" wrapText="1"/>
    </xf>
    <xf numFmtId="0" fontId="25" fillId="0" borderId="30" xfId="0" applyFont="1" applyBorder="1" applyAlignment="1">
      <alignment/>
    </xf>
    <xf numFmtId="2" fontId="25" fillId="0" borderId="33" xfId="0" applyNumberFormat="1" applyFont="1" applyBorder="1" applyAlignment="1">
      <alignment/>
    </xf>
    <xf numFmtId="0" fontId="24" fillId="0" borderId="46" xfId="0" applyFont="1" applyBorder="1" applyAlignment="1">
      <alignment wrapText="1"/>
    </xf>
    <xf numFmtId="49" fontId="21" fillId="0" borderId="47" xfId="0" applyNumberFormat="1" applyFont="1" applyBorder="1" applyAlignment="1">
      <alignment horizontal="right" wrapText="1"/>
    </xf>
    <xf numFmtId="0" fontId="21" fillId="0" borderId="48" xfId="0" applyFont="1" applyBorder="1" applyAlignment="1">
      <alignment horizontal="right" wrapText="1"/>
    </xf>
    <xf numFmtId="0" fontId="21" fillId="0" borderId="48" xfId="0" applyFont="1" applyBorder="1" applyAlignment="1">
      <alignment wrapText="1"/>
    </xf>
    <xf numFmtId="0" fontId="21" fillId="0" borderId="49" xfId="0" applyFont="1" applyBorder="1" applyAlignment="1">
      <alignment wrapText="1"/>
    </xf>
    <xf numFmtId="0" fontId="21" fillId="0" borderId="50" xfId="0" applyFont="1" applyBorder="1" applyAlignment="1">
      <alignment wrapText="1"/>
    </xf>
    <xf numFmtId="0" fontId="21" fillId="0" borderId="51" xfId="0" applyFont="1" applyBorder="1" applyAlignment="1">
      <alignment wrapText="1"/>
    </xf>
    <xf numFmtId="0" fontId="21" fillId="0" borderId="40" xfId="0" applyFont="1" applyBorder="1" applyAlignment="1">
      <alignment wrapText="1"/>
    </xf>
    <xf numFmtId="0" fontId="26" fillId="0" borderId="30" xfId="0" applyFont="1" applyBorder="1" applyAlignment="1">
      <alignment wrapText="1"/>
    </xf>
    <xf numFmtId="0" fontId="24" fillId="0" borderId="47" xfId="0" applyFont="1" applyBorder="1" applyAlignment="1">
      <alignment wrapText="1"/>
    </xf>
    <xf numFmtId="0" fontId="26" fillId="0" borderId="45" xfId="0" applyFont="1" applyBorder="1" applyAlignment="1">
      <alignment wrapText="1"/>
    </xf>
    <xf numFmtId="2" fontId="21" fillId="0" borderId="40" xfId="0" applyNumberFormat="1" applyFont="1" applyBorder="1" applyAlignment="1">
      <alignment/>
    </xf>
    <xf numFmtId="49" fontId="22" fillId="0" borderId="31" xfId="0" applyNumberFormat="1" applyFont="1" applyBorder="1" applyAlignment="1">
      <alignment horizontal="center"/>
    </xf>
    <xf numFmtId="0" fontId="19" fillId="0" borderId="25" xfId="0" applyFont="1" applyBorder="1" applyAlignment="1">
      <alignment wrapText="1"/>
    </xf>
    <xf numFmtId="0" fontId="27" fillId="0" borderId="41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11" xfId="0" applyFont="1" applyBorder="1" applyAlignment="1">
      <alignment/>
    </xf>
    <xf numFmtId="2" fontId="28" fillId="0" borderId="33" xfId="0" applyNumberFormat="1" applyFont="1" applyBorder="1" applyAlignment="1">
      <alignment/>
    </xf>
    <xf numFmtId="0" fontId="22" fillId="0" borderId="0" xfId="0" applyFont="1" applyAlignment="1">
      <alignment/>
    </xf>
    <xf numFmtId="0" fontId="27" fillId="0" borderId="33" xfId="0" applyFont="1" applyBorder="1" applyAlignment="1">
      <alignment wrapText="1"/>
    </xf>
    <xf numFmtId="2" fontId="27" fillId="0" borderId="50" xfId="0" applyNumberFormat="1" applyFont="1" applyBorder="1" applyAlignment="1">
      <alignment/>
    </xf>
    <xf numFmtId="2" fontId="27" fillId="0" borderId="33" xfId="0" applyNumberFormat="1" applyFont="1" applyBorder="1" applyAlignment="1">
      <alignment/>
    </xf>
    <xf numFmtId="2" fontId="27" fillId="0" borderId="25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8" fillId="0" borderId="25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PageLayoutView="0" workbookViewId="0" topLeftCell="A5">
      <selection activeCell="Q22" sqref="Q22"/>
    </sheetView>
  </sheetViews>
  <sheetFormatPr defaultColWidth="9.00390625" defaultRowHeight="12.75"/>
  <cols>
    <col min="1" max="1" width="4.25390625" style="23" customWidth="1"/>
    <col min="2" max="2" width="18.625" style="0" customWidth="1"/>
    <col min="3" max="3" width="11.125" style="0" hidden="1" customWidth="1"/>
    <col min="4" max="4" width="10.25390625" style="0" hidden="1" customWidth="1"/>
    <col min="5" max="5" width="9.875" style="0" hidden="1" customWidth="1"/>
    <col min="6" max="6" width="8.875" style="0" customWidth="1"/>
    <col min="7" max="7" width="8.25390625" style="0" customWidth="1"/>
    <col min="8" max="8" width="8.00390625" style="0" customWidth="1"/>
    <col min="9" max="9" width="8.625" style="0" customWidth="1"/>
    <col min="10" max="10" width="8.875" style="0" customWidth="1"/>
    <col min="11" max="11" width="8.625" style="0" customWidth="1"/>
    <col min="12" max="12" width="9.125" style="0" customWidth="1"/>
    <col min="13" max="13" width="8.375" style="0" customWidth="1"/>
    <col min="14" max="14" width="8.25390625" style="0" customWidth="1"/>
    <col min="15" max="16" width="8.75390625" style="0" customWidth="1"/>
    <col min="17" max="17" width="8.625" style="0" customWidth="1"/>
    <col min="18" max="18" width="8.875" style="0" customWidth="1"/>
    <col min="19" max="19" width="9.375" style="0" customWidth="1"/>
  </cols>
  <sheetData>
    <row r="1" spans="2:24" ht="12.75" customHeight="1">
      <c r="B1" s="95" t="s">
        <v>7</v>
      </c>
      <c r="C1" s="95"/>
      <c r="D1" s="95"/>
      <c r="E1" s="95"/>
      <c r="F1" s="95"/>
      <c r="G1" s="95"/>
      <c r="H1" s="9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 customHeight="1">
      <c r="B2" s="95" t="s">
        <v>55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6"/>
      <c r="Q2" s="96"/>
      <c r="R2" s="96"/>
      <c r="S2" s="4"/>
      <c r="T2" s="4"/>
      <c r="U2" s="4"/>
      <c r="V2" s="4"/>
      <c r="W2" s="4"/>
      <c r="X2" s="4"/>
    </row>
    <row r="3" spans="2:24" ht="12.75" customHeight="1">
      <c r="B3" s="94" t="s">
        <v>0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3"/>
      <c r="U3" s="3"/>
      <c r="V3" s="3"/>
      <c r="W3" s="3"/>
      <c r="X3" s="3"/>
    </row>
    <row r="4" spans="2:24" ht="21.75" customHeight="1">
      <c r="B4" s="93" t="s">
        <v>9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2"/>
      <c r="U4" s="2"/>
      <c r="V4" s="2"/>
      <c r="W4" s="2"/>
      <c r="X4" s="2"/>
    </row>
    <row r="5" spans="2:24" ht="15.75" customHeight="1" thickBot="1">
      <c r="B5" s="93" t="s">
        <v>56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2"/>
      <c r="U5" s="2"/>
      <c r="V5" s="2"/>
      <c r="W5" s="2"/>
      <c r="X5" s="2"/>
    </row>
    <row r="6" spans="2:24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2"/>
      <c r="W6" s="2"/>
      <c r="X6" s="2"/>
    </row>
    <row r="7" spans="1:24" ht="32.25" customHeight="1" thickBot="1">
      <c r="A7" s="32" t="s">
        <v>25</v>
      </c>
      <c r="B7" s="24" t="s">
        <v>6</v>
      </c>
      <c r="C7" s="41" t="s">
        <v>53</v>
      </c>
      <c r="D7" s="41" t="s">
        <v>62</v>
      </c>
      <c r="E7" s="41" t="s">
        <v>64</v>
      </c>
      <c r="F7" s="6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5" t="s">
        <v>19</v>
      </c>
      <c r="P7" s="5" t="s">
        <v>21</v>
      </c>
      <c r="Q7" s="14" t="s">
        <v>20</v>
      </c>
      <c r="R7" s="41" t="s">
        <v>69</v>
      </c>
      <c r="S7" s="37" t="s">
        <v>70</v>
      </c>
      <c r="T7" s="1"/>
      <c r="U7" s="1"/>
      <c r="V7" s="1"/>
      <c r="W7" s="1"/>
      <c r="X7" s="1"/>
    </row>
    <row r="8" spans="1:19" ht="13.5" thickBot="1">
      <c r="A8" s="33" t="s">
        <v>26</v>
      </c>
      <c r="B8" s="25" t="s">
        <v>1</v>
      </c>
      <c r="C8" s="68">
        <v>59490.88</v>
      </c>
      <c r="D8" s="76">
        <v>89236.32</v>
      </c>
      <c r="E8" s="76">
        <v>89454.82</v>
      </c>
      <c r="F8" s="7">
        <v>7545.61</v>
      </c>
      <c r="G8" s="7">
        <v>7545.61</v>
      </c>
      <c r="H8" s="7">
        <v>7545.61</v>
      </c>
      <c r="I8" s="7">
        <v>7545.61</v>
      </c>
      <c r="J8" s="7">
        <v>7545.61</v>
      </c>
      <c r="K8" s="7">
        <v>7545.61</v>
      </c>
      <c r="L8" s="8">
        <v>7545.61</v>
      </c>
      <c r="M8" s="8">
        <v>7545.61</v>
      </c>
      <c r="N8" s="8">
        <v>7545.61</v>
      </c>
      <c r="O8" s="8">
        <v>7545.61</v>
      </c>
      <c r="P8" s="8">
        <v>7545.61</v>
      </c>
      <c r="Q8" s="8">
        <v>7545.61</v>
      </c>
      <c r="R8" s="45">
        <f>SUM(F8:Q8)</f>
        <v>90547.31999999999</v>
      </c>
      <c r="S8" s="66">
        <f>SUM(C8:Q8)</f>
        <v>328729.33999999985</v>
      </c>
    </row>
    <row r="9" spans="1:19" ht="13.5" thickBot="1">
      <c r="A9" s="33"/>
      <c r="B9" s="25" t="s">
        <v>65</v>
      </c>
      <c r="C9" s="77"/>
      <c r="D9" s="78"/>
      <c r="E9" s="78">
        <v>8306.22</v>
      </c>
      <c r="F9" s="7">
        <f aca="true" t="shared" si="0" ref="F9:K9">880.92+38.01+22.67</f>
        <v>941.5999999999999</v>
      </c>
      <c r="G9" s="7">
        <f t="shared" si="0"/>
        <v>941.5999999999999</v>
      </c>
      <c r="H9" s="7">
        <f t="shared" si="0"/>
        <v>941.5999999999999</v>
      </c>
      <c r="I9" s="7">
        <f t="shared" si="0"/>
        <v>941.5999999999999</v>
      </c>
      <c r="J9" s="7">
        <f t="shared" si="0"/>
        <v>941.5999999999999</v>
      </c>
      <c r="K9" s="7">
        <f t="shared" si="0"/>
        <v>941.5999999999999</v>
      </c>
      <c r="L9" s="8">
        <f>924.58+38.6+23.27</f>
        <v>986.45</v>
      </c>
      <c r="M9" s="8">
        <f>38.6+23.27</f>
        <v>61.870000000000005</v>
      </c>
      <c r="N9" s="8">
        <f>38.6+23.27</f>
        <v>61.870000000000005</v>
      </c>
      <c r="O9" s="8">
        <f>38.6+23.27</f>
        <v>61.870000000000005</v>
      </c>
      <c r="P9" s="8">
        <f>38.6+23.27</f>
        <v>61.870000000000005</v>
      </c>
      <c r="Q9" s="8">
        <f>38.6+23.27</f>
        <v>61.870000000000005</v>
      </c>
      <c r="R9" s="45">
        <f>SUM(F9:Q9)</f>
        <v>6945.4</v>
      </c>
      <c r="S9" s="66">
        <f>SUM(C9:Q9)</f>
        <v>15251.620000000006</v>
      </c>
    </row>
    <row r="10" spans="1:19" s="86" customFormat="1" ht="13.5" thickBot="1">
      <c r="A10" s="80" t="s">
        <v>27</v>
      </c>
      <c r="B10" s="81" t="s">
        <v>2</v>
      </c>
      <c r="C10" s="82">
        <v>53747.66</v>
      </c>
      <c r="D10" s="83">
        <v>69620.89</v>
      </c>
      <c r="E10" s="83">
        <v>78346.1</v>
      </c>
      <c r="F10" s="84">
        <f>SUM(F11:F22)</f>
        <v>7058.08</v>
      </c>
      <c r="G10" s="84">
        <f>SUM(G11:G22)</f>
        <v>15369.530000000002</v>
      </c>
      <c r="H10" s="84">
        <f>SUM(H11:H22)</f>
        <v>7499.3</v>
      </c>
      <c r="I10" s="84">
        <f>SUM(I11:I22)</f>
        <v>6910.779999999999</v>
      </c>
      <c r="J10" s="84">
        <f>SUM(J11:J22)</f>
        <v>6748.920000000001</v>
      </c>
      <c r="K10" s="84">
        <f aca="true" t="shared" si="1" ref="K10:Q10">SUM(K11:K22)</f>
        <v>6717.359999999999</v>
      </c>
      <c r="L10" s="84">
        <f t="shared" si="1"/>
        <v>7660.290000000001</v>
      </c>
      <c r="M10" s="84">
        <f t="shared" si="1"/>
        <v>5931.08</v>
      </c>
      <c r="N10" s="84">
        <f t="shared" si="1"/>
        <v>5599.56</v>
      </c>
      <c r="O10" s="84">
        <f t="shared" si="1"/>
        <v>5833.199999999999</v>
      </c>
      <c r="P10" s="84">
        <f t="shared" si="1"/>
        <v>6395.53</v>
      </c>
      <c r="Q10" s="84">
        <f t="shared" si="1"/>
        <v>8090.719999999999</v>
      </c>
      <c r="R10" s="83">
        <f>SUM(F10:Q10)</f>
        <v>89814.35</v>
      </c>
      <c r="S10" s="85">
        <v>68665.16</v>
      </c>
    </row>
    <row r="11" spans="1:19" ht="13.5" thickBot="1">
      <c r="A11" s="33" t="s">
        <v>28</v>
      </c>
      <c r="B11" s="27" t="s">
        <v>4</v>
      </c>
      <c r="C11" s="69" t="s">
        <v>61</v>
      </c>
      <c r="D11" s="64" t="s">
        <v>63</v>
      </c>
      <c r="E11" s="64" t="s">
        <v>68</v>
      </c>
      <c r="F11" s="7">
        <f>1537+60.92</f>
        <v>1597.92</v>
      </c>
      <c r="G11" s="8">
        <f>1537+66.83</f>
        <v>1603.83</v>
      </c>
      <c r="H11" s="8">
        <f>1219+47.46</f>
        <v>1266.46</v>
      </c>
      <c r="I11" s="8">
        <f>1537+133.7</f>
        <v>1670.7</v>
      </c>
      <c r="J11" s="8">
        <f>1537+124.92</f>
        <v>1661.92</v>
      </c>
      <c r="K11" s="8">
        <f>1484+124.29</f>
        <v>1608.29</v>
      </c>
      <c r="L11" s="8">
        <f>1484+106.06</f>
        <v>1590.06</v>
      </c>
      <c r="M11" s="8">
        <f>1484+134.09</f>
        <v>1618.09</v>
      </c>
      <c r="N11" s="8">
        <f>1484+99.67</f>
        <v>1583.67</v>
      </c>
      <c r="O11" s="8">
        <f>1484+80.88</f>
        <v>1564.88</v>
      </c>
      <c r="P11" s="8">
        <f>1484+93.89</f>
        <v>1577.89</v>
      </c>
      <c r="Q11" s="15">
        <f>1484+86.3</f>
        <v>1570.3</v>
      </c>
      <c r="R11" s="42">
        <f aca="true" t="shared" si="2" ref="R11:R24">SUM(F11:Q11)</f>
        <v>18914.01</v>
      </c>
      <c r="S11" s="66">
        <v>17782.63</v>
      </c>
    </row>
    <row r="12" spans="1:19" ht="21" customHeight="1" thickBot="1">
      <c r="A12" s="33" t="s">
        <v>29</v>
      </c>
      <c r="B12" s="28" t="s">
        <v>54</v>
      </c>
      <c r="C12" s="70">
        <v>2214.15</v>
      </c>
      <c r="D12" s="65">
        <v>53.1</v>
      </c>
      <c r="E12" s="65">
        <v>0</v>
      </c>
      <c r="F12" s="9"/>
      <c r="G12" s="10"/>
      <c r="H12" s="10">
        <v>120</v>
      </c>
      <c r="I12" s="10"/>
      <c r="J12" s="10"/>
      <c r="K12" s="10"/>
      <c r="L12" s="10"/>
      <c r="M12" s="10"/>
      <c r="N12" s="10"/>
      <c r="O12" s="10"/>
      <c r="P12" s="10"/>
      <c r="Q12" s="16"/>
      <c r="R12" s="42">
        <f>SUM(F12:Q12)</f>
        <v>120</v>
      </c>
      <c r="S12" s="66">
        <f aca="true" t="shared" si="3" ref="S12:S22">SUM(C12:Q12)</f>
        <v>2387.25</v>
      </c>
    </row>
    <row r="13" spans="1:19" ht="25.5" customHeight="1" thickBot="1">
      <c r="A13" s="33" t="s">
        <v>30</v>
      </c>
      <c r="B13" s="26" t="s">
        <v>5</v>
      </c>
      <c r="C13" s="70">
        <v>4495.2</v>
      </c>
      <c r="D13" s="65">
        <v>0</v>
      </c>
      <c r="E13" s="65">
        <v>0</v>
      </c>
      <c r="F13" s="9"/>
      <c r="G13" s="10">
        <v>8401.19</v>
      </c>
      <c r="H13" s="10"/>
      <c r="I13" s="10"/>
      <c r="J13" s="10"/>
      <c r="K13" s="10"/>
      <c r="L13" s="10"/>
      <c r="M13" s="10"/>
      <c r="N13" s="10"/>
      <c r="O13" s="10"/>
      <c r="P13" s="10"/>
      <c r="Q13" s="16"/>
      <c r="R13" s="42">
        <f t="shared" si="2"/>
        <v>8401.19</v>
      </c>
      <c r="S13" s="66">
        <f t="shared" si="3"/>
        <v>12896.39</v>
      </c>
    </row>
    <row r="14" spans="1:19" ht="18" customHeight="1" thickBot="1">
      <c r="A14" s="33" t="s">
        <v>71</v>
      </c>
      <c r="B14" s="26" t="s">
        <v>72</v>
      </c>
      <c r="C14" s="70"/>
      <c r="D14" s="65"/>
      <c r="E14" s="65"/>
      <c r="F14" s="9"/>
      <c r="G14" s="10"/>
      <c r="H14" s="10">
        <v>500</v>
      </c>
      <c r="I14" s="10"/>
      <c r="J14" s="10"/>
      <c r="K14" s="10"/>
      <c r="L14" s="10"/>
      <c r="M14" s="10"/>
      <c r="N14" s="10"/>
      <c r="O14" s="10"/>
      <c r="P14" s="10"/>
      <c r="Q14" s="16"/>
      <c r="R14" s="42">
        <f>SUM(F14:Q14)</f>
        <v>500</v>
      </c>
      <c r="S14" s="66">
        <f>SUM(C14:Q14)</f>
        <v>500</v>
      </c>
    </row>
    <row r="15" spans="1:19" ht="15.75" customHeight="1" thickBot="1">
      <c r="A15" s="33" t="s">
        <v>31</v>
      </c>
      <c r="B15" s="28" t="s">
        <v>48</v>
      </c>
      <c r="C15" s="71">
        <v>42.9</v>
      </c>
      <c r="D15" s="60">
        <v>1036.23</v>
      </c>
      <c r="E15" s="60">
        <v>1374.72</v>
      </c>
      <c r="F15" s="9"/>
      <c r="G15" s="10"/>
      <c r="H15" s="10"/>
      <c r="I15" s="10"/>
      <c r="J15" s="10"/>
      <c r="K15" s="10"/>
      <c r="L15" s="10">
        <v>672</v>
      </c>
      <c r="M15" s="10"/>
      <c r="N15" s="10"/>
      <c r="O15" s="10"/>
      <c r="P15" s="10">
        <v>286</v>
      </c>
      <c r="Q15" s="16">
        <v>1300.81</v>
      </c>
      <c r="R15" s="42">
        <f t="shared" si="2"/>
        <v>2258.81</v>
      </c>
      <c r="S15" s="66">
        <f t="shared" si="3"/>
        <v>4712.66</v>
      </c>
    </row>
    <row r="16" spans="1:19" ht="15.75" customHeight="1" thickBot="1">
      <c r="A16" s="33" t="s">
        <v>66</v>
      </c>
      <c r="B16" s="28" t="s">
        <v>67</v>
      </c>
      <c r="C16" s="71"/>
      <c r="D16" s="60"/>
      <c r="E16" s="60">
        <v>7799.64</v>
      </c>
      <c r="F16" s="9">
        <v>880.92</v>
      </c>
      <c r="G16" s="10">
        <v>880.92</v>
      </c>
      <c r="H16" s="10">
        <v>880.92</v>
      </c>
      <c r="I16" s="10">
        <v>880.92</v>
      </c>
      <c r="J16" s="10">
        <v>880.92</v>
      </c>
      <c r="K16" s="10">
        <v>880.92</v>
      </c>
      <c r="L16" s="10">
        <v>924.58</v>
      </c>
      <c r="M16" s="10"/>
      <c r="N16" s="10"/>
      <c r="O16" s="10"/>
      <c r="P16" s="10"/>
      <c r="Q16" s="16"/>
      <c r="R16" s="42">
        <f>SUM(F16:Q16)</f>
        <v>6210.099999999999</v>
      </c>
      <c r="S16" s="66">
        <f>SUM(C16:Q16)</f>
        <v>14009.74</v>
      </c>
    </row>
    <row r="17" spans="1:19" ht="22.5" customHeight="1" thickBot="1">
      <c r="A17" s="33" t="s">
        <v>32</v>
      </c>
      <c r="B17" s="28" t="s">
        <v>42</v>
      </c>
      <c r="C17" s="71">
        <v>0</v>
      </c>
      <c r="D17" s="60">
        <v>51</v>
      </c>
      <c r="E17" s="60">
        <v>318.24</v>
      </c>
      <c r="F17" s="9">
        <v>14</v>
      </c>
      <c r="G17" s="10">
        <v>78</v>
      </c>
      <c r="H17" s="10"/>
      <c r="I17" s="10"/>
      <c r="J17" s="10"/>
      <c r="K17" s="10"/>
      <c r="L17" s="10"/>
      <c r="M17" s="10"/>
      <c r="N17" s="10"/>
      <c r="O17" s="10"/>
      <c r="P17" s="10"/>
      <c r="Q17" s="16"/>
      <c r="R17" s="42">
        <f t="shared" si="2"/>
        <v>92</v>
      </c>
      <c r="S17" s="66">
        <f t="shared" si="3"/>
        <v>461.24</v>
      </c>
    </row>
    <row r="18" spans="1:19" ht="34.5" customHeight="1" thickBot="1">
      <c r="A18" s="33" t="s">
        <v>33</v>
      </c>
      <c r="B18" s="28" t="s">
        <v>57</v>
      </c>
      <c r="C18" s="71">
        <v>2127.51</v>
      </c>
      <c r="D18" s="60">
        <v>3286.35</v>
      </c>
      <c r="E18" s="60">
        <v>3347.81</v>
      </c>
      <c r="F18" s="9">
        <v>295.5</v>
      </c>
      <c r="G18" s="10">
        <v>271.08</v>
      </c>
      <c r="H18" s="10">
        <v>361.52</v>
      </c>
      <c r="I18" s="10">
        <v>281.91</v>
      </c>
      <c r="J18" s="10">
        <v>237.11</v>
      </c>
      <c r="K18" s="10">
        <v>343.67</v>
      </c>
      <c r="L18" s="10">
        <v>279.55</v>
      </c>
      <c r="M18" s="10">
        <v>285.88</v>
      </c>
      <c r="N18" s="10">
        <v>234.96</v>
      </c>
      <c r="O18" s="10">
        <v>352.69</v>
      </c>
      <c r="P18" s="10">
        <v>311.82</v>
      </c>
      <c r="Q18" s="16">
        <v>304.49</v>
      </c>
      <c r="R18" s="42">
        <f t="shared" si="2"/>
        <v>3560.1800000000003</v>
      </c>
      <c r="S18" s="66">
        <f t="shared" si="3"/>
        <v>12321.849999999999</v>
      </c>
    </row>
    <row r="19" spans="1:19" ht="27.75" customHeight="1" thickBot="1">
      <c r="A19" s="33" t="s">
        <v>34</v>
      </c>
      <c r="B19" s="28" t="s">
        <v>58</v>
      </c>
      <c r="C19" s="71">
        <v>368.5</v>
      </c>
      <c r="D19" s="60">
        <v>467.52</v>
      </c>
      <c r="E19" s="60">
        <v>365.86</v>
      </c>
      <c r="F19" s="9">
        <v>29.21</v>
      </c>
      <c r="G19" s="10">
        <v>19.61</v>
      </c>
      <c r="H19" s="10">
        <v>13.92</v>
      </c>
      <c r="I19" s="10">
        <v>19.56</v>
      </c>
      <c r="J19" s="10">
        <v>18.17</v>
      </c>
      <c r="K19" s="10">
        <v>21.66</v>
      </c>
      <c r="L19" s="10">
        <v>66.25</v>
      </c>
      <c r="M19" s="10">
        <v>16.96</v>
      </c>
      <c r="N19" s="10">
        <v>21</v>
      </c>
      <c r="O19" s="10">
        <v>18.19</v>
      </c>
      <c r="P19" s="10">
        <v>86.96</v>
      </c>
      <c r="Q19" s="16">
        <v>27.65</v>
      </c>
      <c r="R19" s="42">
        <f t="shared" si="2"/>
        <v>359.14</v>
      </c>
      <c r="S19" s="66">
        <f t="shared" si="3"/>
        <v>1561.0200000000004</v>
      </c>
    </row>
    <row r="20" spans="1:19" ht="39" customHeight="1" thickBot="1">
      <c r="A20" s="33" t="s">
        <v>35</v>
      </c>
      <c r="B20" s="28" t="s">
        <v>59</v>
      </c>
      <c r="C20" s="71">
        <v>2657.49</v>
      </c>
      <c r="D20" s="60">
        <v>3419.75</v>
      </c>
      <c r="E20" s="60">
        <v>3632.27</v>
      </c>
      <c r="F20" s="9">
        <f>14.62+104.54+161.5</f>
        <v>280.66</v>
      </c>
      <c r="G20" s="10">
        <f>153.33+16.02+141.43</f>
        <v>310.78000000000003</v>
      </c>
      <c r="H20" s="10">
        <f>155.3+15.88+153.48</f>
        <v>324.65999999999997</v>
      </c>
      <c r="I20" s="10">
        <f>163.6+16.09+119.57</f>
        <v>299.26</v>
      </c>
      <c r="J20" s="10">
        <f>198.35+14.46+93.31</f>
        <v>306.12</v>
      </c>
      <c r="K20" s="10">
        <f>159.3+13.56+89.04</f>
        <v>261.90000000000003</v>
      </c>
      <c r="L20" s="10">
        <f>15.26+103.46+201.03</f>
        <v>319.75</v>
      </c>
      <c r="M20" s="10">
        <f>16.2+157.23+155.84</f>
        <v>329.27</v>
      </c>
      <c r="N20" s="10">
        <f>181.57+12.75+121.6</f>
        <v>315.91999999999996</v>
      </c>
      <c r="O20" s="10">
        <f>17.02+218.83+177</f>
        <v>412.85</v>
      </c>
      <c r="P20" s="10">
        <f>13.94+122.06+253.56</f>
        <v>389.56</v>
      </c>
      <c r="Q20" s="16">
        <f>230.24+16.13+206.57</f>
        <v>452.94</v>
      </c>
      <c r="R20" s="42">
        <f t="shared" si="2"/>
        <v>4003.67</v>
      </c>
      <c r="S20" s="66">
        <f t="shared" si="3"/>
        <v>13713.180000000002</v>
      </c>
    </row>
    <row r="21" spans="1:19" ht="18.75" customHeight="1" thickBot="1">
      <c r="A21" s="33" t="s">
        <v>46</v>
      </c>
      <c r="B21" s="28" t="s">
        <v>8</v>
      </c>
      <c r="C21" s="71">
        <v>25809.56</v>
      </c>
      <c r="D21" s="60">
        <v>38356.91</v>
      </c>
      <c r="E21" s="60">
        <v>38379.25</v>
      </c>
      <c r="F21" s="9">
        <f>7058.08-3326.42</f>
        <v>3731.66</v>
      </c>
      <c r="G21" s="10">
        <f>15369.53-11789.02</f>
        <v>3580.51</v>
      </c>
      <c r="H21" s="10">
        <f>7499.3-3772.59</f>
        <v>3726.71</v>
      </c>
      <c r="I21" s="10">
        <f>6910.78-3408.27</f>
        <v>3502.5099999999998</v>
      </c>
      <c r="J21" s="10">
        <f>6748.92-3342.05</f>
        <v>3406.87</v>
      </c>
      <c r="K21" s="10">
        <f>6717.36-3332.92</f>
        <v>3384.4399999999996</v>
      </c>
      <c r="L21" s="10">
        <f>7660.29-4098.2</f>
        <v>3562.09</v>
      </c>
      <c r="M21" s="10">
        <f>5931.08-2502.42</f>
        <v>3428.66</v>
      </c>
      <c r="N21" s="10">
        <f>5599.56-2406.1</f>
        <v>3193.4600000000005</v>
      </c>
      <c r="O21" s="10">
        <f>5833.2-2580.09</f>
        <v>3253.1099999999997</v>
      </c>
      <c r="P21" s="10">
        <f>6395.53-2865.15</f>
        <v>3530.3799999999997</v>
      </c>
      <c r="Q21" s="16">
        <f>8090.69-4035.59+0.03</f>
        <v>4055.1299999999997</v>
      </c>
      <c r="R21" s="42">
        <f t="shared" si="2"/>
        <v>42355.52999999999</v>
      </c>
      <c r="S21" s="66">
        <f t="shared" si="3"/>
        <v>144901.25</v>
      </c>
    </row>
    <row r="22" spans="1:19" ht="13.5" thickBot="1">
      <c r="A22" s="33" t="s">
        <v>47</v>
      </c>
      <c r="B22" s="29" t="s">
        <v>3</v>
      </c>
      <c r="C22" s="72">
        <v>1646.86</v>
      </c>
      <c r="D22" s="61">
        <v>2931.58</v>
      </c>
      <c r="E22" s="61">
        <v>3052.54</v>
      </c>
      <c r="F22" s="62">
        <f>25.32+202.89</f>
        <v>228.20999999999998</v>
      </c>
      <c r="G22" s="63">
        <f>25.11+198.5</f>
        <v>223.61</v>
      </c>
      <c r="H22" s="63">
        <f>33.87+271.24</f>
        <v>305.11</v>
      </c>
      <c r="I22" s="63">
        <f>28.4+227.52</f>
        <v>255.92000000000002</v>
      </c>
      <c r="J22" s="11">
        <f>26.38+211.43</f>
        <v>237.81</v>
      </c>
      <c r="K22" s="11">
        <f>24.02+192.46</f>
        <v>216.48000000000002</v>
      </c>
      <c r="L22" s="11">
        <f>27.29+218.72</f>
        <v>246.01</v>
      </c>
      <c r="M22" s="11">
        <f>29.1+223.12</f>
        <v>252.22</v>
      </c>
      <c r="N22" s="11">
        <f>4.56+245.99</f>
        <v>250.55</v>
      </c>
      <c r="O22" s="11">
        <f>1.88+229.6</f>
        <v>231.48</v>
      </c>
      <c r="P22" s="11">
        <f>1.58+211.34</f>
        <v>212.92000000000002</v>
      </c>
      <c r="Q22" s="17">
        <f>18.31+361.09</f>
        <v>379.4</v>
      </c>
      <c r="R22" s="42">
        <f t="shared" si="2"/>
        <v>3039.7200000000003</v>
      </c>
      <c r="S22" s="66">
        <f t="shared" si="3"/>
        <v>10670.699999999997</v>
      </c>
    </row>
    <row r="23" spans="1:19" ht="15.75" customHeight="1" thickBot="1">
      <c r="A23" s="33" t="s">
        <v>49</v>
      </c>
      <c r="B23" s="35" t="s">
        <v>52</v>
      </c>
      <c r="C23" s="58">
        <f aca="true" t="shared" si="4" ref="C23:I23">C8*5%</f>
        <v>2974.544</v>
      </c>
      <c r="D23" s="49">
        <f t="shared" si="4"/>
        <v>4461.816000000001</v>
      </c>
      <c r="E23" s="49">
        <f>E8*5%</f>
        <v>4472.741000000001</v>
      </c>
      <c r="F23" s="48">
        <f t="shared" si="4"/>
        <v>377.2805</v>
      </c>
      <c r="G23" s="48">
        <f t="shared" si="4"/>
        <v>377.2805</v>
      </c>
      <c r="H23" s="48">
        <f t="shared" si="4"/>
        <v>377.2805</v>
      </c>
      <c r="I23" s="48">
        <f t="shared" si="4"/>
        <v>377.2805</v>
      </c>
      <c r="J23" s="48">
        <f aca="true" t="shared" si="5" ref="J23:Q23">J8*5%</f>
        <v>377.2805</v>
      </c>
      <c r="K23" s="48">
        <f t="shared" si="5"/>
        <v>377.2805</v>
      </c>
      <c r="L23" s="48">
        <f t="shared" si="5"/>
        <v>377.2805</v>
      </c>
      <c r="M23" s="48">
        <f t="shared" si="5"/>
        <v>377.2805</v>
      </c>
      <c r="N23" s="48">
        <f t="shared" si="5"/>
        <v>377.2805</v>
      </c>
      <c r="O23" s="48">
        <f t="shared" si="5"/>
        <v>377.2805</v>
      </c>
      <c r="P23" s="48">
        <f t="shared" si="5"/>
        <v>377.2805</v>
      </c>
      <c r="Q23" s="48">
        <f t="shared" si="5"/>
        <v>377.2805</v>
      </c>
      <c r="R23" s="49">
        <f t="shared" si="2"/>
        <v>4527.365999999999</v>
      </c>
      <c r="S23" s="67"/>
    </row>
    <row r="24" spans="1:19" ht="13.5" customHeight="1" thickBot="1">
      <c r="A24" s="33" t="s">
        <v>51</v>
      </c>
      <c r="B24" s="46" t="s">
        <v>44</v>
      </c>
      <c r="C24" s="73"/>
      <c r="D24" s="75"/>
      <c r="E24" s="79">
        <f aca="true" t="shared" si="6" ref="E24:Q24">SUM(E8+E9-E10)-E23</f>
        <v>14942.199</v>
      </c>
      <c r="F24" s="50">
        <f t="shared" si="6"/>
        <v>1051.8494999999991</v>
      </c>
      <c r="G24" s="50">
        <f t="shared" si="6"/>
        <v>-7259.600500000003</v>
      </c>
      <c r="H24" s="50">
        <f t="shared" si="6"/>
        <v>610.6294999999989</v>
      </c>
      <c r="I24" s="50">
        <f t="shared" si="6"/>
        <v>1199.1495000000002</v>
      </c>
      <c r="J24" s="50">
        <f t="shared" si="6"/>
        <v>1361.009499999998</v>
      </c>
      <c r="K24" s="50">
        <f t="shared" si="6"/>
        <v>1392.5695000000003</v>
      </c>
      <c r="L24" s="50">
        <f t="shared" si="6"/>
        <v>494.4894999999986</v>
      </c>
      <c r="M24" s="50">
        <f t="shared" si="6"/>
        <v>1299.1194999999996</v>
      </c>
      <c r="N24" s="50">
        <f t="shared" si="6"/>
        <v>1630.639499999999</v>
      </c>
      <c r="O24" s="50">
        <f t="shared" si="6"/>
        <v>1396.9995000000006</v>
      </c>
      <c r="P24" s="50">
        <f t="shared" si="6"/>
        <v>834.6694999999997</v>
      </c>
      <c r="Q24" s="50">
        <f t="shared" si="6"/>
        <v>-860.5204999999999</v>
      </c>
      <c r="R24" s="49">
        <f t="shared" si="2"/>
        <v>3151.0039999999926</v>
      </c>
      <c r="S24" s="67"/>
    </row>
    <row r="25" spans="1:19" ht="28.5" customHeight="1" thickBot="1">
      <c r="A25" s="80"/>
      <c r="B25" s="87" t="s">
        <v>22</v>
      </c>
      <c r="C25" s="88">
        <f>SUM(C8-C10)-C23</f>
        <v>2768.675999999994</v>
      </c>
      <c r="D25" s="89">
        <f>SUM(D8-D10)-D23</f>
        <v>15153.614000000007</v>
      </c>
      <c r="E25" s="89">
        <f>SUM(E8+E9-E10)-E23</f>
        <v>14942.199</v>
      </c>
      <c r="F25" s="90">
        <f>SUM(F8+F9-F10)-F23</f>
        <v>1051.8494999999991</v>
      </c>
      <c r="G25" s="91">
        <f>SUM(G24+F25)</f>
        <v>-6207.751000000004</v>
      </c>
      <c r="H25" s="91">
        <f aca="true" t="shared" si="7" ref="H25:Q25">SUM(H24+G25)</f>
        <v>-5597.121500000005</v>
      </c>
      <c r="I25" s="91">
        <f t="shared" si="7"/>
        <v>-4397.972000000004</v>
      </c>
      <c r="J25" s="91">
        <f t="shared" si="7"/>
        <v>-3036.962500000006</v>
      </c>
      <c r="K25" s="91">
        <f t="shared" si="7"/>
        <v>-1644.3930000000057</v>
      </c>
      <c r="L25" s="91">
        <f t="shared" si="7"/>
        <v>-1149.9035000000072</v>
      </c>
      <c r="M25" s="91">
        <f t="shared" si="7"/>
        <v>149.2159999999924</v>
      </c>
      <c r="N25" s="91">
        <f t="shared" si="7"/>
        <v>1779.8554999999915</v>
      </c>
      <c r="O25" s="91">
        <f t="shared" si="7"/>
        <v>3176.8549999999923</v>
      </c>
      <c r="P25" s="91">
        <f t="shared" si="7"/>
        <v>4011.5244999999923</v>
      </c>
      <c r="Q25" s="91">
        <f t="shared" si="7"/>
        <v>3151.0039999999926</v>
      </c>
      <c r="R25" s="89"/>
      <c r="S25" s="92"/>
    </row>
    <row r="26" spans="1:19" ht="30.75" customHeight="1" hidden="1" thickBot="1">
      <c r="A26" s="33" t="s">
        <v>50</v>
      </c>
      <c r="B26" s="30" t="s">
        <v>23</v>
      </c>
      <c r="C26" s="74">
        <v>2768.68</v>
      </c>
      <c r="D26" s="49">
        <f>SUM(D25+C26)</f>
        <v>17922.294000000005</v>
      </c>
      <c r="E26" s="49">
        <f>SUM(E25+D26)</f>
        <v>32864.493</v>
      </c>
      <c r="F26" s="49">
        <f>SUM(F25+E26)</f>
        <v>33916.3425</v>
      </c>
      <c r="G26" s="53">
        <f>SUM(G24+F26)</f>
        <v>26656.741999999995</v>
      </c>
      <c r="H26" s="53">
        <f aca="true" t="shared" si="8" ref="H26:P26">SUM(H24+G26)</f>
        <v>27267.371499999994</v>
      </c>
      <c r="I26" s="53">
        <f t="shared" si="8"/>
        <v>28466.520999999993</v>
      </c>
      <c r="J26" s="53">
        <f t="shared" si="8"/>
        <v>29827.53049999999</v>
      </c>
      <c r="K26" s="53">
        <f t="shared" si="8"/>
        <v>31220.09999999999</v>
      </c>
      <c r="L26" s="53">
        <f t="shared" si="8"/>
        <v>31714.58949999999</v>
      </c>
      <c r="M26" s="53">
        <f t="shared" si="8"/>
        <v>33013.70899999999</v>
      </c>
      <c r="N26" s="53">
        <f t="shared" si="8"/>
        <v>34644.348499999986</v>
      </c>
      <c r="O26" s="53">
        <f t="shared" si="8"/>
        <v>36041.34799999998</v>
      </c>
      <c r="P26" s="53">
        <f t="shared" si="8"/>
        <v>36876.01749999998</v>
      </c>
      <c r="Q26" s="53">
        <f>SUM(Q24+P26)</f>
        <v>36015.49699999998</v>
      </c>
      <c r="R26" s="42"/>
      <c r="S26" s="54"/>
    </row>
    <row r="27" spans="1:18" ht="24" customHeight="1" hidden="1">
      <c r="A27" s="33" t="s">
        <v>36</v>
      </c>
      <c r="B27" s="51">
        <f>SUM(F8-F10)-F25</f>
        <v>-564.3194999999994</v>
      </c>
      <c r="C27" s="51"/>
      <c r="D27" s="51"/>
      <c r="E27" s="51"/>
      <c r="F27" s="52">
        <f>SUM(G26+B27)</f>
        <v>26092.422499999997</v>
      </c>
      <c r="G27" s="52">
        <f>SUM(H26+F27)</f>
        <v>53359.793999999994</v>
      </c>
      <c r="H27" s="52">
        <f>SUM(I26+G27)</f>
        <v>81826.31499999999</v>
      </c>
      <c r="I27" s="52"/>
      <c r="J27" s="55"/>
      <c r="K27" s="55"/>
      <c r="L27" s="55"/>
      <c r="M27" s="55"/>
      <c r="N27" s="55"/>
      <c r="O27" s="55"/>
      <c r="P27" s="55"/>
      <c r="Q27" s="56"/>
      <c r="R27" s="57"/>
    </row>
    <row r="28" spans="1:18" ht="26.25" customHeight="1" hidden="1" thickBot="1">
      <c r="A28" s="33" t="s">
        <v>37</v>
      </c>
      <c r="B28" s="48">
        <v>0</v>
      </c>
      <c r="C28" s="58"/>
      <c r="D28" s="58"/>
      <c r="E28" s="58"/>
      <c r="F28" s="53">
        <v>0</v>
      </c>
      <c r="G28" s="53">
        <v>0</v>
      </c>
      <c r="H28" s="53">
        <v>0</v>
      </c>
      <c r="I28" s="53"/>
      <c r="J28" s="53"/>
      <c r="K28" s="53"/>
      <c r="L28" s="53"/>
      <c r="M28" s="53"/>
      <c r="N28" s="53"/>
      <c r="O28" s="53"/>
      <c r="P28" s="53"/>
      <c r="Q28" s="42"/>
      <c r="R28" s="47"/>
    </row>
    <row r="29" spans="1:19" ht="8.25" customHeight="1" hidden="1" thickBot="1">
      <c r="A29" s="33" t="s">
        <v>38</v>
      </c>
      <c r="B29" s="31" t="s">
        <v>41</v>
      </c>
      <c r="C29" s="59"/>
      <c r="D29" s="59"/>
      <c r="E29" s="59"/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8"/>
      <c r="R29" s="42"/>
      <c r="S29" s="38"/>
    </row>
    <row r="30" spans="1:19" ht="15" customHeight="1" hidden="1" thickBot="1">
      <c r="A30" s="34" t="s">
        <v>39</v>
      </c>
      <c r="B30" s="31" t="s">
        <v>24</v>
      </c>
      <c r="C30" s="59"/>
      <c r="D30" s="59"/>
      <c r="E30" s="59"/>
      <c r="F30" s="12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8"/>
      <c r="R30" s="43"/>
      <c r="S30" s="39"/>
    </row>
    <row r="31" spans="1:19" ht="0.75" customHeight="1" hidden="1" thickBot="1">
      <c r="A31" s="34" t="s">
        <v>40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>
        <f>SUM(P27-Q29)</f>
        <v>0</v>
      </c>
      <c r="R31" s="44"/>
      <c r="S31" s="40"/>
    </row>
    <row r="32" spans="1:19" ht="24" customHeight="1" hidden="1" thickBot="1">
      <c r="A32" s="36" t="s">
        <v>43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2">
        <f>SUM(P28-Q29)</f>
        <v>0</v>
      </c>
      <c r="R32" s="44"/>
      <c r="S32" s="40"/>
    </row>
    <row r="33" spans="6:19" ht="3" customHeight="1" hidden="1"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</row>
    <row r="34" ht="12.75" hidden="1"/>
    <row r="35" ht="6" customHeight="1" hidden="1"/>
    <row r="36" ht="12.75" hidden="1">
      <c r="B36" t="s">
        <v>45</v>
      </c>
    </row>
    <row r="37" ht="12.75" hidden="1"/>
    <row r="38" ht="12.75">
      <c r="B38" t="s">
        <v>60</v>
      </c>
    </row>
    <row r="41" ht="12.75" customHeight="1"/>
    <row r="42" ht="12.75" customHeight="1"/>
  </sheetData>
  <sheetProtection/>
  <mergeCells count="5">
    <mergeCell ref="B4:S4"/>
    <mergeCell ref="B5:S5"/>
    <mergeCell ref="B3:S3"/>
    <mergeCell ref="B1:H1"/>
    <mergeCell ref="B2:R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2019-02-11T13:28:46Z</cp:lastPrinted>
  <dcterms:created xsi:type="dcterms:W3CDTF">2011-06-16T11:06:26Z</dcterms:created>
  <dcterms:modified xsi:type="dcterms:W3CDTF">2019-02-14T05:38:23Z</dcterms:modified>
  <cp:category/>
  <cp:version/>
  <cp:contentType/>
  <cp:contentStatus/>
</cp:coreProperties>
</file>