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<sst xmlns="http://schemas.openxmlformats.org/spreadsheetml/2006/main" count="72" uniqueCount="72">
  <si>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</si>
  <si>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</si>
  <si>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</si>
  <si>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</si>
  <si>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</si>
  <si>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</si>
  <si>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</si>
  <si>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</si>
  <si>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</si>
  <si>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</si>
  <si>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</si>
  <si>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</si>
  <si>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</si>
  <si>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</si>
  <si>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</si>
  <si>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</si>
  <si>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</si>
  <si>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</si>
  <si>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</si>
  <si>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</si>
  <si>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</si>
  <si>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</si>
  <si>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</si>
  <si>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</si>
  <si>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</si>
  <si>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</si>
  <si>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</si>
  <si>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</si>
  <si>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</si>
  <si>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</si>
  <si>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</si>
  <si>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</si>
  <si>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</si>
  <si>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</si>
  <si>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</si>
  <si>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</si>
  <si>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</si>
  <si>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по жилому дому г. Унеча  пер. Крупской д.2</t>
  </si>
  <si>
    <t>за 2010 г.</t>
  </si>
  <si>
    <t>Задолженность на 01.01.2012 г.(РИРЦ)</t>
  </si>
  <si>
    <t>Финансовый результат по дому с начала года</t>
  </si>
  <si>
    <t>Итого за 2011 г</t>
  </si>
  <si>
    <t>Проверка дымовых каналов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</si>
  <si>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</si>
  <si>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</si>
  <si>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</si>
  <si>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</si>
  <si>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</si>
  <si>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</si>
  <si>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</si>
  <si>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</si>
  <si>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</si>
  <si>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</si>
  <si>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</si>
  <si>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</si>
  <si>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</si>
  <si>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</si>
  <si>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 /Викторова Л.С./  тел.2-15-59</t>
  </si>
  <si>
    <t>Итого за 2016 г</t>
  </si>
  <si>
    <t>Итого за 2017 г</t>
  </si>
  <si>
    <t>Начислено СОИД</t>
  </si>
  <si>
    <t>Электроэнергия  СОИД</t>
  </si>
  <si>
    <t>Холодная вода СОИД</t>
  </si>
  <si>
    <t>Канализация СОИД</t>
  </si>
  <si>
    <t>Итого за 2018 г</t>
  </si>
  <si>
    <t>Итого за 2019 г</t>
  </si>
  <si>
    <t>Дом  по пер.Крупской д.2  вступил в ООО "Наш дом" в апреле 2010 года       тариф 8,3 руб, с 1 января 2019 г    тариф 7,8 руб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</si>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</sst>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3" fillId="0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2" fontId="20" fillId="0" borderId="20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2" fontId="20" fillId="0" borderId="23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0" fillId="0" borderId="25" xfId="0" applyFont="1" applyBorder="1" applyAlignment="1">
      <alignment horizontal="left" wrapText="1"/>
    </xf>
    <xf numFmtId="0" fontId="25" fillId="0" borderId="16" xfId="0" applyFont="1" applyBorder="1" applyAlignment="1">
      <alignment wrapText="1"/>
    </xf>
    <xf numFmtId="2" fontId="25" fillId="0" borderId="10" xfId="0" applyNumberFormat="1" applyFont="1" applyBorder="1" applyAlignment="1">
      <alignment wrapText="1"/>
    </xf>
    <xf numFmtId="2" fontId="20" fillId="0" borderId="26" xfId="0" applyNumberFormat="1" applyFont="1" applyBorder="1" applyAlignment="1">
      <alignment/>
    </xf>
    <xf numFmtId="2" fontId="20" fillId="0" borderId="27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49" fontId="20" fillId="0" borderId="17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horizontal="right" wrapText="1"/>
    </xf>
    <xf numFmtId="2" fontId="20" fillId="0" borderId="19" xfId="0" applyNumberFormat="1" applyFont="1" applyBorder="1" applyAlignment="1">
      <alignment horizontal="right" wrapText="1"/>
    </xf>
    <xf numFmtId="0" fontId="20" fillId="0" borderId="25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0" fillId="0" borderId="28" xfId="0" applyFont="1" applyBorder="1" applyAlignment="1">
      <alignment horizontal="right" wrapText="1"/>
    </xf>
    <xf numFmtId="0" fontId="20" fillId="0" borderId="29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2" fontId="20" fillId="0" borderId="35" xfId="0" applyNumberFormat="1" applyFont="1" applyBorder="1" applyAlignment="1">
      <alignment/>
    </xf>
    <xf numFmtId="2" fontId="20" fillId="0" borderId="34" xfId="0" applyNumberFormat="1" applyFont="1" applyBorder="1" applyAlignment="1">
      <alignment/>
    </xf>
    <xf numFmtId="0" fontId="20" fillId="0" borderId="36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2" fontId="20" fillId="0" borderId="37" xfId="0" applyNumberFormat="1" applyFont="1" applyBorder="1" applyAlignment="1">
      <alignment/>
    </xf>
    <xf numFmtId="0" fontId="20" fillId="0" borderId="16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2" fontId="20" fillId="0" borderId="13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27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2" fontId="20" fillId="0" borderId="40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2" fontId="20" fillId="0" borderId="15" xfId="0" applyNumberFormat="1" applyFont="1" applyBorder="1" applyAlignment="1">
      <alignment/>
    </xf>
    <xf numFmtId="0" fontId="20" fillId="2" borderId="38" xfId="0" applyFont="1" applyFill="1" applyBorder="1" applyAlignment="1">
      <alignment wrapText="1"/>
    </xf>
    <xf numFmtId="0" fontId="20" fillId="2" borderId="15" xfId="0" applyFont="1" applyFill="1" applyBorder="1" applyAlignment="1">
      <alignment wrapText="1"/>
    </xf>
    <xf numFmtId="0" fontId="20" fillId="2" borderId="39" xfId="0" applyFont="1" applyFill="1" applyBorder="1" applyAlignment="1">
      <alignment wrapText="1"/>
    </xf>
    <xf numFmtId="2" fontId="19" fillId="2" borderId="40" xfId="0" applyNumberFormat="1" applyFont="1" applyFill="1" applyBorder="1" applyAlignment="1">
      <alignment/>
    </xf>
    <xf numFmtId="2" fontId="19" fillId="2" borderId="39" xfId="0" applyNumberFormat="1" applyFont="1" applyFill="1" applyBorder="1" applyAlignment="1">
      <alignment/>
    </xf>
    <xf numFmtId="2" fontId="19" fillId="2" borderId="15" xfId="0" applyNumberFormat="1" applyFont="1" applyFill="1" applyBorder="1" applyAlignment="1">
      <alignment/>
    </xf>
    <xf numFmtId="2" fontId="20" fillId="2" borderId="10" xfId="0" applyNumberFormat="1" applyFont="1" applyFill="1" applyBorder="1" applyAlignment="1">
      <alignment/>
    </xf>
    <xf numFmtId="2" fontId="25" fillId="0" borderId="43" xfId="0" applyNumberFormat="1" applyFont="1" applyBorder="1" applyAlignment="1">
      <alignment wrapText="1"/>
    </xf>
    <xf numFmtId="2" fontId="20" fillId="0" borderId="44" xfId="0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2" fontId="20" fillId="0" borderId="45" xfId="0" applyNumberFormat="1" applyFont="1" applyBorder="1" applyAlignment="1">
      <alignment/>
    </xf>
    <xf numFmtId="2" fontId="20" fillId="0" borderId="46" xfId="0" applyNumberFormat="1" applyFont="1" applyBorder="1" applyAlignment="1">
      <alignment/>
    </xf>
    <xf numFmtId="2" fontId="20" fillId="0" borderId="47" xfId="0" applyNumberFormat="1" applyFont="1" applyBorder="1" applyAlignment="1">
      <alignment/>
    </xf>
    <xf numFmtId="2" fontId="20" fillId="0" borderId="48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2" fontId="20" fillId="0" borderId="49" xfId="0" applyNumberFormat="1" applyFont="1" applyBorder="1" applyAlignment="1">
      <alignment/>
    </xf>
    <xf numFmtId="2" fontId="20" fillId="0" borderId="16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24" fillId="0" borderId="43" xfId="0" applyFont="1" applyBorder="1" applyAlignment="1">
      <alignment horizontal="center" vertical="center" wrapText="1"/>
    </xf>
    <xf numFmtId="2" fontId="20" fillId="0" borderId="50" xfId="0" applyNumberFormat="1" applyFont="1" applyBorder="1" applyAlignment="1">
      <alignment/>
    </xf>
    <xf numFmtId="2" fontId="20" fillId="0" borderId="51" xfId="0" applyNumberFormat="1" applyFont="1" applyBorder="1" applyAlignment="1">
      <alignment/>
    </xf>
    <xf numFmtId="2" fontId="20" fillId="0" borderId="43" xfId="0" applyNumberFormat="1" applyFont="1" applyBorder="1" applyAlignment="1">
      <alignment/>
    </xf>
    <xf numFmtId="2" fontId="26" fillId="0" borderId="22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2" fontId="26" fillId="0" borderId="18" xfId="0" applyNumberFormat="1" applyFont="1" applyBorder="1" applyAlignment="1">
      <alignment/>
    </xf>
    <xf numFmtId="2" fontId="26" fillId="0" borderId="34" xfId="0" applyNumberFormat="1" applyFont="1" applyBorder="1" applyAlignment="1">
      <alignment/>
    </xf>
    <xf numFmtId="0" fontId="24" fillId="0" borderId="26" xfId="0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/>
    </xf>
    <xf numFmtId="0" fontId="25" fillId="0" borderId="33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0" xfId="0" applyFont="1" applyBorder="1" applyAlignment="1">
      <alignment wrapText="1"/>
    </xf>
    <xf numFmtId="2" fontId="20" fillId="0" borderId="52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B1">
      <selection activeCell="B14" sqref="B14"/>
    </sheetView>
  </sheetViews>
  <sheetFormatPr defaultColWidth="9.00390625" defaultRowHeight="12.75"/>
  <cols>
    <col min="1" max="1" width="4.125" style="0" hidden="1" customWidth="1"/>
    <col min="2" max="2" width="21.25390625" style="0" customWidth="1"/>
    <col min="3" max="3" width="8.375" style="0" hidden="1" customWidth="1"/>
    <col min="4" max="4" width="8.125" style="0" hidden="1" customWidth="1"/>
    <col min="5" max="5" width="8.25390625" style="0" hidden="1" customWidth="1"/>
    <col min="6" max="6" width="9.25390625" style="0" hidden="1" customWidth="1"/>
    <col min="7" max="7" width="9.00390625" style="0" hidden="1" customWidth="1"/>
    <col min="8" max="8" width="8.625" style="0" hidden="1" customWidth="1"/>
    <col min="9" max="9" width="11.125" style="0" hidden="1" customWidth="1"/>
    <col min="10" max="10" width="9.625" style="0" hidden="1" customWidth="1"/>
    <col min="11" max="12" width="8.625" style="0" hidden="1" customWidth="1"/>
    <col min="13" max="13" width="8.625" style="0" customWidth="1"/>
    <col min="14" max="14" width="7.875" style="0" customWidth="1"/>
    <col min="15" max="15" width="8.375" style="0" customWidth="1"/>
    <col min="16" max="16" width="8.875" style="0" customWidth="1"/>
    <col min="17" max="17" width="8.75390625" style="0" customWidth="1"/>
    <col min="18" max="18" width="8.625" style="0" customWidth="1"/>
    <col min="19" max="19" width="8.875" style="0" customWidth="1"/>
    <col min="20" max="21" width="8.375" style="0" customWidth="1"/>
    <col min="22" max="22" width="8.875" style="0" customWidth="1"/>
    <col min="23" max="23" width="7.75390625" style="0" customWidth="1"/>
    <col min="24" max="24" width="8.125" style="0" customWidth="1"/>
    <col min="25" max="25" width="8.625" style="0" customWidth="1"/>
    <col min="26" max="26" width="9.375" style="0" bestFit="1" customWidth="1"/>
  </cols>
  <sheetData>
    <row r="1" spans="1:31" ht="13.5" customHeight="1">
      <c r="A1" s="9"/>
      <c r="B1" s="105" t="s">
        <v>67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.25" customHeight="1">
      <c r="A2" s="9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4"/>
      <c r="AB2" s="4"/>
      <c r="AC2" s="4"/>
      <c r="AD2" s="4"/>
      <c r="AE2" s="4"/>
    </row>
    <row r="3" spans="1:31" ht="12.75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 customHeight="1" hidden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2:31" ht="12.75" customHeight="1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3"/>
      <c r="AB5" s="3"/>
      <c r="AC5" s="3"/>
      <c r="AD5" s="3"/>
      <c r="AE5" s="3"/>
    </row>
    <row r="6" spans="2:31" ht="15" customHeight="1">
      <c r="B6" s="103" t="s">
        <v>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2"/>
      <c r="AB6" s="2"/>
      <c r="AC6" s="2"/>
      <c r="AD6" s="2"/>
      <c r="AE6" s="2"/>
    </row>
    <row r="7" spans="2:31" ht="16.5" customHeight="1" thickBot="1">
      <c r="B7" s="103" t="s">
        <v>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2"/>
      <c r="AB7" s="2"/>
      <c r="AC7" s="2"/>
      <c r="AD7" s="2"/>
      <c r="AE7" s="2"/>
    </row>
    <row r="8" spans="1:31" ht="33" customHeight="1" thickBot="1">
      <c r="A8" s="11" t="s">
        <v>25</v>
      </c>
      <c r="B8" s="20" t="s">
        <v>6</v>
      </c>
      <c r="C8" s="14" t="s">
        <v>38</v>
      </c>
      <c r="D8" s="17" t="s">
        <v>41</v>
      </c>
      <c r="E8" s="17" t="s">
        <v>44</v>
      </c>
      <c r="F8" s="17" t="s">
        <v>48</v>
      </c>
      <c r="G8" s="89" t="s">
        <v>49</v>
      </c>
      <c r="H8" s="17" t="s">
        <v>52</v>
      </c>
      <c r="I8" s="17" t="s">
        <v>58</v>
      </c>
      <c r="J8" s="17" t="s">
        <v>59</v>
      </c>
      <c r="K8" s="17" t="s">
        <v>64</v>
      </c>
      <c r="L8" s="17" t="s">
        <v>65</v>
      </c>
      <c r="M8" s="17" t="s">
        <v>10</v>
      </c>
      <c r="N8" s="97" t="s">
        <v>11</v>
      </c>
      <c r="O8" s="15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15" t="s">
        <v>18</v>
      </c>
      <c r="V8" s="15" t="s">
        <v>19</v>
      </c>
      <c r="W8" s="15" t="s">
        <v>21</v>
      </c>
      <c r="X8" s="16" t="s">
        <v>20</v>
      </c>
      <c r="Y8" s="17" t="s">
        <v>68</v>
      </c>
      <c r="Z8" s="17" t="s">
        <v>69</v>
      </c>
      <c r="AA8" s="1"/>
      <c r="AB8" s="1"/>
      <c r="AC8" s="1"/>
      <c r="AD8" s="1"/>
      <c r="AE8" s="1"/>
    </row>
    <row r="9" spans="1:26" ht="13.5" thickBot="1">
      <c r="A9" s="78">
        <v>1</v>
      </c>
      <c r="B9" s="21" t="s">
        <v>1</v>
      </c>
      <c r="C9" s="22">
        <v>34283.61</v>
      </c>
      <c r="D9" s="23">
        <v>45711.48</v>
      </c>
      <c r="E9" s="81">
        <v>45711.48</v>
      </c>
      <c r="F9" s="26">
        <v>46392.08</v>
      </c>
      <c r="G9" s="81">
        <v>46528.2</v>
      </c>
      <c r="H9" s="90">
        <v>47142.4</v>
      </c>
      <c r="I9" s="26">
        <v>47265.24</v>
      </c>
      <c r="J9" s="26">
        <v>47265.24</v>
      </c>
      <c r="K9" s="26">
        <v>47265.24</v>
      </c>
      <c r="L9" s="26">
        <v>44397.6</v>
      </c>
      <c r="M9" s="84">
        <v>3691.35</v>
      </c>
      <c r="N9" s="84">
        <v>3691.35</v>
      </c>
      <c r="O9" s="84">
        <v>3691.35</v>
      </c>
      <c r="P9" s="84">
        <v>3691.35</v>
      </c>
      <c r="Q9" s="84">
        <v>3691.35</v>
      </c>
      <c r="R9" s="84">
        <v>3691.35</v>
      </c>
      <c r="S9" s="84">
        <v>3691.35</v>
      </c>
      <c r="T9" s="84">
        <v>3691.35</v>
      </c>
      <c r="U9" s="84">
        <v>3691.35</v>
      </c>
      <c r="V9" s="84">
        <v>3691.35</v>
      </c>
      <c r="W9" s="84">
        <v>3691.35</v>
      </c>
      <c r="X9" s="84">
        <v>3691.35</v>
      </c>
      <c r="Y9" s="26">
        <f>SUM(M9:X9)</f>
        <v>44296.19999999999</v>
      </c>
      <c r="Z9" s="93">
        <f aca="true" t="shared" si="0" ref="Z9:Z16">SUM(C9:X9)</f>
        <v>496258.7699999997</v>
      </c>
    </row>
    <row r="10" spans="1:26" ht="13.5" thickBot="1">
      <c r="A10" s="78"/>
      <c r="B10" s="21" t="s">
        <v>60</v>
      </c>
      <c r="C10" s="22"/>
      <c r="D10" s="23"/>
      <c r="E10" s="81"/>
      <c r="F10" s="29"/>
      <c r="G10" s="90"/>
      <c r="H10" s="90"/>
      <c r="I10" s="29">
        <v>0</v>
      </c>
      <c r="J10" s="29">
        <v>5672.17</v>
      </c>
      <c r="K10" s="29">
        <v>3607.16</v>
      </c>
      <c r="L10" s="29">
        <v>1150.17</v>
      </c>
      <c r="M10" s="83">
        <f aca="true" t="shared" si="1" ref="M10:R10">50.21+48.56</f>
        <v>98.77000000000001</v>
      </c>
      <c r="N10" s="83">
        <f t="shared" si="1"/>
        <v>98.77000000000001</v>
      </c>
      <c r="O10" s="83">
        <f t="shared" si="1"/>
        <v>98.77000000000001</v>
      </c>
      <c r="P10" s="83">
        <f t="shared" si="1"/>
        <v>98.77000000000001</v>
      </c>
      <c r="Q10" s="83">
        <f t="shared" si="1"/>
        <v>98.77000000000001</v>
      </c>
      <c r="R10" s="83">
        <f t="shared" si="1"/>
        <v>98.77000000000001</v>
      </c>
      <c r="S10" s="83">
        <f aca="true" t="shared" si="2" ref="S10:X10">52.24+48.7</f>
        <v>100.94</v>
      </c>
      <c r="T10" s="83">
        <f t="shared" si="2"/>
        <v>100.94</v>
      </c>
      <c r="U10" s="83">
        <f t="shared" si="2"/>
        <v>100.94</v>
      </c>
      <c r="V10" s="83">
        <f t="shared" si="2"/>
        <v>100.94</v>
      </c>
      <c r="W10" s="83">
        <f t="shared" si="2"/>
        <v>100.94</v>
      </c>
      <c r="X10" s="83">
        <f t="shared" si="2"/>
        <v>100.94</v>
      </c>
      <c r="Y10" s="26">
        <f>SUM(M10:X10)</f>
        <v>1198.2600000000002</v>
      </c>
      <c r="Z10" s="93">
        <f t="shared" si="0"/>
        <v>11627.760000000006</v>
      </c>
    </row>
    <row r="11" spans="1:26" ht="13.5" thickBot="1">
      <c r="A11" s="78"/>
      <c r="B11" s="99" t="s">
        <v>70</v>
      </c>
      <c r="C11" s="100"/>
      <c r="D11" s="101"/>
      <c r="E11" s="102"/>
      <c r="F11" s="53"/>
      <c r="G11" s="91"/>
      <c r="H11" s="91"/>
      <c r="I11" s="53"/>
      <c r="J11" s="53"/>
      <c r="K11" s="53"/>
      <c r="L11" s="53"/>
      <c r="M11" s="77">
        <v>400</v>
      </c>
      <c r="N11" s="77">
        <v>400</v>
      </c>
      <c r="O11" s="77">
        <v>400</v>
      </c>
      <c r="P11" s="77">
        <v>400</v>
      </c>
      <c r="Q11" s="77">
        <v>400</v>
      </c>
      <c r="R11" s="77">
        <v>400</v>
      </c>
      <c r="S11" s="77">
        <v>400</v>
      </c>
      <c r="T11" s="77">
        <v>400</v>
      </c>
      <c r="U11" s="77">
        <v>400</v>
      </c>
      <c r="V11" s="77">
        <v>400</v>
      </c>
      <c r="W11" s="77">
        <v>400</v>
      </c>
      <c r="X11" s="77">
        <v>400</v>
      </c>
      <c r="Y11" s="26">
        <f>SUM(M11:X11)</f>
        <v>4800</v>
      </c>
      <c r="Z11" s="93">
        <f>SUM(C11:X11)</f>
        <v>4800</v>
      </c>
    </row>
    <row r="12" spans="1:27" ht="13.5" thickBot="1">
      <c r="A12" s="79">
        <v>4</v>
      </c>
      <c r="B12" s="31" t="s">
        <v>2</v>
      </c>
      <c r="C12" s="32">
        <f aca="true" t="shared" si="3" ref="C12:M12">SUM(C13:C27)</f>
        <v>26749.9</v>
      </c>
      <c r="D12" s="76">
        <f t="shared" si="3"/>
        <v>53186.53</v>
      </c>
      <c r="E12" s="76">
        <f t="shared" si="3"/>
        <v>48875.77999999999</v>
      </c>
      <c r="F12" s="32">
        <f t="shared" si="3"/>
        <v>58860.98</v>
      </c>
      <c r="G12" s="76">
        <f t="shared" si="3"/>
        <v>53435.27</v>
      </c>
      <c r="H12" s="92">
        <f>SUM(H13:H27)</f>
        <v>41584.61</v>
      </c>
      <c r="I12" s="35">
        <f>SUM(I13:I27)</f>
        <v>52269.04</v>
      </c>
      <c r="J12" s="35">
        <f t="shared" si="3"/>
        <v>50768.24</v>
      </c>
      <c r="K12" s="35">
        <f t="shared" si="3"/>
        <v>59250.34999999999</v>
      </c>
      <c r="L12" s="35">
        <f t="shared" si="3"/>
        <v>37515.31</v>
      </c>
      <c r="M12" s="33">
        <f t="shared" si="3"/>
        <v>6695.45</v>
      </c>
      <c r="N12" s="33">
        <f aca="true" t="shared" si="4" ref="N12:X12">SUM(N13:N27)</f>
        <v>2990.01</v>
      </c>
      <c r="O12" s="33">
        <f t="shared" si="4"/>
        <v>2609.74</v>
      </c>
      <c r="P12" s="33">
        <f t="shared" si="4"/>
        <v>3075.51</v>
      </c>
      <c r="Q12" s="33">
        <f t="shared" si="4"/>
        <v>2843.17</v>
      </c>
      <c r="R12" s="33">
        <f t="shared" si="4"/>
        <v>2553.65</v>
      </c>
      <c r="S12" s="33">
        <f t="shared" si="4"/>
        <v>2954.0699999999997</v>
      </c>
      <c r="T12" s="33">
        <f t="shared" si="4"/>
        <v>7427.109999999998</v>
      </c>
      <c r="U12" s="33">
        <f t="shared" si="4"/>
        <v>3142.9899999999993</v>
      </c>
      <c r="V12" s="33">
        <f t="shared" si="4"/>
        <v>3301.34</v>
      </c>
      <c r="W12" s="33">
        <f t="shared" si="4"/>
        <v>3476.9700000000003</v>
      </c>
      <c r="X12" s="34">
        <f t="shared" si="4"/>
        <v>3629.3100000000004</v>
      </c>
      <c r="Y12" s="35">
        <f>SUM(M12:X12)</f>
        <v>44699.31999999999</v>
      </c>
      <c r="Z12" s="94">
        <f t="shared" si="0"/>
        <v>527195.33</v>
      </c>
      <c r="AA12" s="18"/>
    </row>
    <row r="13" spans="1:26" ht="13.5" thickBot="1">
      <c r="A13" s="80" t="s">
        <v>26</v>
      </c>
      <c r="B13" s="37" t="s">
        <v>71</v>
      </c>
      <c r="C13" s="38">
        <v>2705.96</v>
      </c>
      <c r="D13" s="39">
        <v>7187.16</v>
      </c>
      <c r="E13" s="81">
        <v>15465.61</v>
      </c>
      <c r="F13" s="29">
        <v>17446.46</v>
      </c>
      <c r="G13" s="90">
        <v>16442.05</v>
      </c>
      <c r="H13" s="90">
        <v>15689.86</v>
      </c>
      <c r="I13" s="29">
        <v>16492.49</v>
      </c>
      <c r="J13" s="29">
        <v>16447.41</v>
      </c>
      <c r="K13" s="29">
        <v>15436.05</v>
      </c>
      <c r="L13" s="29">
        <v>166.11</v>
      </c>
      <c r="M13" s="84"/>
      <c r="N13" s="24">
        <v>10.13</v>
      </c>
      <c r="O13" s="24">
        <v>11.78</v>
      </c>
      <c r="P13" s="24">
        <v>13.21</v>
      </c>
      <c r="Q13" s="24">
        <v>21.15</v>
      </c>
      <c r="R13" s="24">
        <v>15.57</v>
      </c>
      <c r="S13" s="24">
        <v>24.68</v>
      </c>
      <c r="T13" s="24">
        <v>24.53</v>
      </c>
      <c r="U13" s="24">
        <v>58.23</v>
      </c>
      <c r="V13" s="24">
        <v>24.97</v>
      </c>
      <c r="W13" s="24">
        <v>1.86</v>
      </c>
      <c r="X13" s="25">
        <v>2.47</v>
      </c>
      <c r="Y13" s="29">
        <f>SUM(M13:X13)</f>
        <v>208.58</v>
      </c>
      <c r="Z13" s="95">
        <f t="shared" si="0"/>
        <v>123687.74000000002</v>
      </c>
    </row>
    <row r="14" spans="1:26" ht="12" customHeight="1" thickBot="1">
      <c r="A14" s="80" t="s">
        <v>27</v>
      </c>
      <c r="B14" s="40" t="s">
        <v>56</v>
      </c>
      <c r="C14" s="41">
        <v>7493.17</v>
      </c>
      <c r="D14" s="42">
        <v>5623.53</v>
      </c>
      <c r="E14" s="81">
        <v>669.62</v>
      </c>
      <c r="F14" s="29">
        <v>2314.77</v>
      </c>
      <c r="G14" s="90">
        <v>715.3</v>
      </c>
      <c r="H14" s="90">
        <v>456.62</v>
      </c>
      <c r="I14" s="29">
        <v>43.45</v>
      </c>
      <c r="J14" s="29">
        <v>1679.5</v>
      </c>
      <c r="K14" s="29">
        <v>240</v>
      </c>
      <c r="L14" s="29">
        <v>0</v>
      </c>
      <c r="M14" s="83">
        <v>3840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9">
        <f aca="true" t="shared" si="5" ref="Y14:Y26">SUM(M14:X14)</f>
        <v>3840</v>
      </c>
      <c r="Z14" s="95">
        <f t="shared" si="0"/>
        <v>23075.960000000003</v>
      </c>
    </row>
    <row r="15" spans="1:26" ht="15" customHeight="1" thickBot="1">
      <c r="A15" s="80" t="s">
        <v>28</v>
      </c>
      <c r="B15" s="30" t="s">
        <v>4</v>
      </c>
      <c r="C15" s="43">
        <v>1380.43</v>
      </c>
      <c r="D15" s="44">
        <v>0</v>
      </c>
      <c r="E15" s="81">
        <v>0</v>
      </c>
      <c r="F15" s="29">
        <v>6422.74</v>
      </c>
      <c r="G15" s="90"/>
      <c r="H15" s="90">
        <v>0</v>
      </c>
      <c r="I15" s="29">
        <v>8345.3</v>
      </c>
      <c r="J15" s="29">
        <v>0</v>
      </c>
      <c r="K15" s="29">
        <v>12286.91</v>
      </c>
      <c r="L15" s="29">
        <v>4263.5</v>
      </c>
      <c r="M15" s="83"/>
      <c r="N15" s="27"/>
      <c r="O15" s="27"/>
      <c r="P15" s="27"/>
      <c r="Q15" s="98"/>
      <c r="R15" s="27"/>
      <c r="S15" s="27"/>
      <c r="T15" s="27">
        <v>4469</v>
      </c>
      <c r="U15" s="27"/>
      <c r="V15" s="27"/>
      <c r="W15" s="27"/>
      <c r="X15" s="28"/>
      <c r="Y15" s="29">
        <f t="shared" si="5"/>
        <v>4469</v>
      </c>
      <c r="Z15" s="95">
        <f t="shared" si="0"/>
        <v>37167.88</v>
      </c>
    </row>
    <row r="16" spans="1:26" ht="21.75" customHeight="1" thickBot="1">
      <c r="A16" s="80" t="s">
        <v>29</v>
      </c>
      <c r="B16" s="30" t="s">
        <v>42</v>
      </c>
      <c r="C16" s="43">
        <v>0</v>
      </c>
      <c r="D16" s="44">
        <v>575.07</v>
      </c>
      <c r="E16" s="81">
        <v>0</v>
      </c>
      <c r="F16" s="29">
        <v>0</v>
      </c>
      <c r="G16" s="90"/>
      <c r="H16" s="90">
        <v>0</v>
      </c>
      <c r="I16" s="29">
        <v>1000</v>
      </c>
      <c r="J16" s="29">
        <v>700</v>
      </c>
      <c r="K16" s="29">
        <v>700</v>
      </c>
      <c r="L16" s="29">
        <v>700</v>
      </c>
      <c r="M16" s="8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9">
        <f t="shared" si="5"/>
        <v>0</v>
      </c>
      <c r="Z16" s="95">
        <f t="shared" si="0"/>
        <v>3675.07</v>
      </c>
    </row>
    <row r="17" spans="1:26" ht="15" customHeight="1" thickBot="1">
      <c r="A17" s="80" t="s">
        <v>30</v>
      </c>
      <c r="B17" s="40" t="s">
        <v>50</v>
      </c>
      <c r="C17" s="41">
        <v>169.26</v>
      </c>
      <c r="D17" s="42">
        <v>10124.31</v>
      </c>
      <c r="E17" s="81">
        <v>368.59</v>
      </c>
      <c r="F17" s="29">
        <v>0</v>
      </c>
      <c r="G17" s="90">
        <v>3609.29</v>
      </c>
      <c r="H17" s="90">
        <v>-2738.21</v>
      </c>
      <c r="I17" s="29">
        <v>453.8</v>
      </c>
      <c r="J17" s="29">
        <v>95</v>
      </c>
      <c r="K17" s="29">
        <v>0</v>
      </c>
      <c r="L17" s="29">
        <v>385</v>
      </c>
      <c r="M17" s="8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29">
        <f t="shared" si="5"/>
        <v>0</v>
      </c>
      <c r="Z17" s="95">
        <f aca="true" t="shared" si="6" ref="Z17:Z25">SUM(C17:X17)</f>
        <v>12467.04</v>
      </c>
    </row>
    <row r="18" spans="1:26" ht="21.75" customHeight="1" thickBot="1">
      <c r="A18" s="80" t="s">
        <v>31</v>
      </c>
      <c r="B18" s="40" t="s">
        <v>45</v>
      </c>
      <c r="C18" s="41">
        <v>0</v>
      </c>
      <c r="D18" s="42">
        <v>0</v>
      </c>
      <c r="E18" s="81">
        <v>256</v>
      </c>
      <c r="F18" s="29">
        <v>0</v>
      </c>
      <c r="G18" s="90">
        <v>12.6</v>
      </c>
      <c r="H18" s="90">
        <v>52.96</v>
      </c>
      <c r="I18" s="29">
        <v>51</v>
      </c>
      <c r="J18" s="29">
        <v>363.09</v>
      </c>
      <c r="K18" s="29">
        <v>78</v>
      </c>
      <c r="L18" s="29">
        <v>78.81</v>
      </c>
      <c r="M18" s="83">
        <v>40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9">
        <f>SUM(M18:X18)</f>
        <v>40</v>
      </c>
      <c r="Z18" s="95">
        <f>SUM(C18:X18)</f>
        <v>932.46</v>
      </c>
    </row>
    <row r="19" spans="1:26" ht="12" customHeight="1" thickBot="1">
      <c r="A19" s="80" t="s">
        <v>32</v>
      </c>
      <c r="B19" s="40" t="s">
        <v>61</v>
      </c>
      <c r="C19" s="41">
        <v>1047.2</v>
      </c>
      <c r="D19" s="42">
        <v>1880.38</v>
      </c>
      <c r="E19" s="81">
        <v>938.53</v>
      </c>
      <c r="F19" s="29">
        <v>0</v>
      </c>
      <c r="G19" s="90"/>
      <c r="H19" s="90">
        <v>0</v>
      </c>
      <c r="I19" s="29">
        <v>0</v>
      </c>
      <c r="J19" s="29">
        <v>4907.88</v>
      </c>
      <c r="K19" s="29">
        <v>2495.96</v>
      </c>
      <c r="L19" s="29">
        <v>0</v>
      </c>
      <c r="M19" s="83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9">
        <f t="shared" si="5"/>
        <v>0</v>
      </c>
      <c r="Z19" s="95">
        <f t="shared" si="6"/>
        <v>11269.95</v>
      </c>
    </row>
    <row r="20" spans="1:26" ht="12" customHeight="1" thickBot="1">
      <c r="A20" s="80"/>
      <c r="B20" s="40" t="s">
        <v>62</v>
      </c>
      <c r="C20" s="41"/>
      <c r="D20" s="42"/>
      <c r="E20" s="81"/>
      <c r="F20" s="29"/>
      <c r="G20" s="90"/>
      <c r="H20" s="90"/>
      <c r="I20" s="29"/>
      <c r="J20" s="29">
        <v>467.78</v>
      </c>
      <c r="K20" s="29">
        <v>589.8</v>
      </c>
      <c r="L20" s="29">
        <v>597</v>
      </c>
      <c r="M20" s="83">
        <v>50.2</v>
      </c>
      <c r="N20" s="83">
        <v>50.2</v>
      </c>
      <c r="O20" s="83">
        <v>50.2</v>
      </c>
      <c r="P20" s="83">
        <v>50.2</v>
      </c>
      <c r="Q20" s="83">
        <v>50.2</v>
      </c>
      <c r="R20" s="83">
        <v>50.2</v>
      </c>
      <c r="S20" s="83">
        <v>52.24</v>
      </c>
      <c r="T20" s="83">
        <v>52.24</v>
      </c>
      <c r="U20" s="83">
        <v>52.24</v>
      </c>
      <c r="V20" s="83">
        <v>52.24</v>
      </c>
      <c r="W20" s="83">
        <v>52.24</v>
      </c>
      <c r="X20" s="83">
        <v>52.24</v>
      </c>
      <c r="Y20" s="29">
        <f>SUM(M20:X20)</f>
        <v>614.64</v>
      </c>
      <c r="Z20" s="95">
        <f>SUM(C20:X20)</f>
        <v>2269.2199999999993</v>
      </c>
    </row>
    <row r="21" spans="1:26" ht="12" customHeight="1" thickBot="1">
      <c r="A21" s="80"/>
      <c r="B21" s="40" t="s">
        <v>63</v>
      </c>
      <c r="C21" s="41"/>
      <c r="D21" s="42"/>
      <c r="E21" s="81"/>
      <c r="F21" s="29"/>
      <c r="G21" s="90"/>
      <c r="H21" s="90"/>
      <c r="I21" s="29"/>
      <c r="J21" s="29">
        <v>301.87</v>
      </c>
      <c r="K21" s="29">
        <v>521.46</v>
      </c>
      <c r="L21" s="29">
        <v>548.28</v>
      </c>
      <c r="M21" s="83">
        <v>48.56</v>
      </c>
      <c r="N21" s="83">
        <v>48.56</v>
      </c>
      <c r="O21" s="83">
        <v>48.56</v>
      </c>
      <c r="P21" s="83">
        <v>48.56</v>
      </c>
      <c r="Q21" s="83">
        <v>48.56</v>
      </c>
      <c r="R21" s="83">
        <v>48.56</v>
      </c>
      <c r="S21" s="83">
        <v>49.69</v>
      </c>
      <c r="T21" s="83">
        <v>49.69</v>
      </c>
      <c r="U21" s="83">
        <v>49.69</v>
      </c>
      <c r="V21" s="83">
        <v>49.69</v>
      </c>
      <c r="W21" s="83">
        <v>49.69</v>
      </c>
      <c r="X21" s="83">
        <v>49.69</v>
      </c>
      <c r="Y21" s="29">
        <f>SUM(M21:X21)</f>
        <v>589.5</v>
      </c>
      <c r="Z21" s="95">
        <f>SUM(C21:X21)</f>
        <v>1961.1100000000001</v>
      </c>
    </row>
    <row r="22" spans="1:26" ht="14.25" customHeight="1" thickBot="1">
      <c r="A22" s="80" t="s">
        <v>33</v>
      </c>
      <c r="B22" s="40" t="s">
        <v>5</v>
      </c>
      <c r="C22" s="41">
        <v>1078.76</v>
      </c>
      <c r="D22" s="42">
        <v>409.15</v>
      </c>
      <c r="E22" s="81">
        <v>308.17</v>
      </c>
      <c r="F22" s="29">
        <v>265.37</v>
      </c>
      <c r="G22" s="90"/>
      <c r="H22" s="90">
        <v>0</v>
      </c>
      <c r="I22" s="29">
        <v>0</v>
      </c>
      <c r="J22" s="29">
        <v>0</v>
      </c>
      <c r="K22" s="29">
        <v>0</v>
      </c>
      <c r="L22" s="29">
        <v>0</v>
      </c>
      <c r="M22" s="8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9">
        <f t="shared" si="5"/>
        <v>0</v>
      </c>
      <c r="Z22" s="95">
        <f t="shared" si="6"/>
        <v>2061.45</v>
      </c>
    </row>
    <row r="23" spans="1:26" ht="35.25" customHeight="1" thickBot="1">
      <c r="A23" s="80" t="s">
        <v>34</v>
      </c>
      <c r="B23" s="40" t="s">
        <v>53</v>
      </c>
      <c r="C23" s="41">
        <v>625.05</v>
      </c>
      <c r="D23" s="42">
        <v>2228.44</v>
      </c>
      <c r="E23" s="81">
        <v>2808.74</v>
      </c>
      <c r="F23" s="29">
        <v>2575.99</v>
      </c>
      <c r="G23" s="90">
        <v>1903.57</v>
      </c>
      <c r="H23" s="90">
        <v>2275.24</v>
      </c>
      <c r="I23" s="29">
        <v>2411.77</v>
      </c>
      <c r="J23" s="29">
        <v>2450.26</v>
      </c>
      <c r="K23" s="29">
        <v>2574.87</v>
      </c>
      <c r="L23" s="29">
        <v>2083.51</v>
      </c>
      <c r="M23" s="83">
        <v>152.66</v>
      </c>
      <c r="N23" s="27">
        <v>136.85</v>
      </c>
      <c r="O23" s="27">
        <v>170.14</v>
      </c>
      <c r="P23" s="27">
        <v>133.01</v>
      </c>
      <c r="Q23" s="27">
        <v>137.62</v>
      </c>
      <c r="R23" s="27">
        <v>138.91</v>
      </c>
      <c r="S23" s="27">
        <v>160.66</v>
      </c>
      <c r="T23" s="27">
        <v>200.22</v>
      </c>
      <c r="U23" s="27">
        <v>192.12</v>
      </c>
      <c r="V23" s="27">
        <v>223.31</v>
      </c>
      <c r="W23" s="27">
        <v>207.68</v>
      </c>
      <c r="X23" s="28">
        <v>189.58</v>
      </c>
      <c r="Y23" s="29">
        <f t="shared" si="5"/>
        <v>2042.76</v>
      </c>
      <c r="Z23" s="95">
        <f t="shared" si="6"/>
        <v>23980.199999999993</v>
      </c>
    </row>
    <row r="24" spans="1:26" ht="21" customHeight="1" thickBot="1">
      <c r="A24" s="80" t="s">
        <v>35</v>
      </c>
      <c r="B24" s="40" t="s">
        <v>54</v>
      </c>
      <c r="C24" s="41">
        <v>1027.67</v>
      </c>
      <c r="D24" s="42">
        <v>1213.19</v>
      </c>
      <c r="E24" s="81">
        <v>363.89</v>
      </c>
      <c r="F24" s="29">
        <v>262.75</v>
      </c>
      <c r="G24" s="90">
        <v>572.63</v>
      </c>
      <c r="H24" s="90">
        <v>391.75</v>
      </c>
      <c r="I24" s="29">
        <v>343.1</v>
      </c>
      <c r="J24" s="29">
        <v>268.02</v>
      </c>
      <c r="K24" s="29">
        <v>259.74</v>
      </c>
      <c r="L24" s="29">
        <v>235.89</v>
      </c>
      <c r="M24" s="83">
        <v>8.77</v>
      </c>
      <c r="N24" s="27">
        <v>12.42</v>
      </c>
      <c r="O24" s="27">
        <v>11.9</v>
      </c>
      <c r="P24" s="27">
        <v>11.89</v>
      </c>
      <c r="Q24" s="27">
        <v>11.59</v>
      </c>
      <c r="R24" s="27">
        <v>10.13</v>
      </c>
      <c r="S24" s="27">
        <v>22.85</v>
      </c>
      <c r="T24" s="27">
        <v>11.86</v>
      </c>
      <c r="U24" s="27">
        <v>7.24</v>
      </c>
      <c r="V24" s="27">
        <v>21.87</v>
      </c>
      <c r="W24" s="27">
        <v>9.4</v>
      </c>
      <c r="X24" s="28">
        <v>25.61</v>
      </c>
      <c r="Y24" s="29">
        <f t="shared" si="5"/>
        <v>165.52999999999997</v>
      </c>
      <c r="Z24" s="95">
        <f t="shared" si="6"/>
        <v>5104.16</v>
      </c>
    </row>
    <row r="25" spans="1:26" ht="33.75" customHeight="1" thickBot="1">
      <c r="A25" s="80" t="s">
        <v>36</v>
      </c>
      <c r="B25" s="40" t="s">
        <v>55</v>
      </c>
      <c r="C25" s="41">
        <v>335.2</v>
      </c>
      <c r="D25" s="42">
        <v>1917.82</v>
      </c>
      <c r="E25" s="81">
        <v>1891.46</v>
      </c>
      <c r="F25" s="29">
        <v>2575.23</v>
      </c>
      <c r="G25" s="90">
        <v>2220.43</v>
      </c>
      <c r="H25" s="90">
        <v>2945.38</v>
      </c>
      <c r="I25" s="29">
        <v>2509.64</v>
      </c>
      <c r="J25" s="29">
        <v>2443.42</v>
      </c>
      <c r="K25" s="29">
        <v>2895.67</v>
      </c>
      <c r="L25" s="29">
        <v>3147.12</v>
      </c>
      <c r="M25" s="83">
        <f>6.24+82.14+133.94</f>
        <v>222.32</v>
      </c>
      <c r="N25" s="27">
        <f>6.47+96.49+143.69</f>
        <v>246.64999999999998</v>
      </c>
      <c r="O25" s="27">
        <f>6.17+87.04+147.31</f>
        <v>240.52</v>
      </c>
      <c r="P25" s="27">
        <f>7.66+102.39+137.53</f>
        <v>247.57999999999998</v>
      </c>
      <c r="Q25" s="27">
        <f>6.45+127.95+136.5</f>
        <v>270.9</v>
      </c>
      <c r="R25" s="27">
        <f>6.26+108.01+128.74</f>
        <v>243.01000000000002</v>
      </c>
      <c r="S25" s="27">
        <f>6.77+88.15+130.62</f>
        <v>225.54000000000002</v>
      </c>
      <c r="T25" s="27">
        <f>126.76+6.4+88.88</f>
        <v>222.04</v>
      </c>
      <c r="U25" s="27">
        <f>195.73+114.57</f>
        <v>310.29999999999995</v>
      </c>
      <c r="V25" s="27">
        <f>6.74+191.33+190.49</f>
        <v>388.56000000000006</v>
      </c>
      <c r="W25" s="27">
        <f>7.41+153.66+183.38</f>
        <v>344.45</v>
      </c>
      <c r="X25" s="28">
        <f>8.36+213.49+168.26</f>
        <v>390.11</v>
      </c>
      <c r="Y25" s="29">
        <f t="shared" si="5"/>
        <v>3351.9799999999996</v>
      </c>
      <c r="Z25" s="95">
        <f t="shared" si="6"/>
        <v>26233.350000000006</v>
      </c>
    </row>
    <row r="26" spans="1:26" ht="15.75" customHeight="1" thickBot="1">
      <c r="A26" s="80" t="s">
        <v>46</v>
      </c>
      <c r="B26" s="40" t="s">
        <v>8</v>
      </c>
      <c r="C26" s="41">
        <v>9741.09</v>
      </c>
      <c r="D26" s="42">
        <v>18840.77</v>
      </c>
      <c r="E26" s="81">
        <v>23758.86</v>
      </c>
      <c r="F26" s="29">
        <v>25442.34</v>
      </c>
      <c r="G26" s="90">
        <v>26122</v>
      </c>
      <c r="H26" s="90">
        <v>20937.81</v>
      </c>
      <c r="I26" s="29">
        <v>19045.09</v>
      </c>
      <c r="J26" s="29">
        <v>18882.3</v>
      </c>
      <c r="K26" s="29">
        <v>19168.39</v>
      </c>
      <c r="L26" s="29">
        <v>23541.28</v>
      </c>
      <c r="M26" s="83">
        <f>7695.45-4545.18-1000</f>
        <v>2150.2699999999995</v>
      </c>
      <c r="N26" s="27">
        <f>2490.01-619.2+500</f>
        <v>2370.8100000000004</v>
      </c>
      <c r="O26" s="27">
        <f>2609.74-681.61</f>
        <v>1928.1299999999997</v>
      </c>
      <c r="P26" s="27">
        <f>2575.51-721.46+500</f>
        <v>2354.05</v>
      </c>
      <c r="Q26" s="27">
        <f>2843.17-932.56</f>
        <v>1910.6100000000001</v>
      </c>
      <c r="R26" s="27">
        <f>2553.65-633.04</f>
        <v>1920.6100000000001</v>
      </c>
      <c r="S26" s="27">
        <f>2954.07-662.32</f>
        <v>2291.75</v>
      </c>
      <c r="T26" s="27">
        <f>7427.11-5156.31</f>
        <v>2270.7999999999993</v>
      </c>
      <c r="U26" s="27">
        <f>3142.99-796.55</f>
        <v>2346.4399999999996</v>
      </c>
      <c r="V26" s="27">
        <f>3301.34-888.31</f>
        <v>2413.03</v>
      </c>
      <c r="W26" s="27">
        <f>3476.97-804.37</f>
        <v>2672.6</v>
      </c>
      <c r="X26" s="28">
        <f>3629.31-848.75</f>
        <v>2780.56</v>
      </c>
      <c r="Y26" s="29">
        <f t="shared" si="5"/>
        <v>27409.659999999996</v>
      </c>
      <c r="Z26" s="95">
        <f>SUM(C26:X26)</f>
        <v>232889.5899999999</v>
      </c>
    </row>
    <row r="27" spans="1:26" ht="13.5" customHeight="1" thickBot="1">
      <c r="A27" s="80" t="s">
        <v>47</v>
      </c>
      <c r="B27" s="45" t="s">
        <v>3</v>
      </c>
      <c r="C27" s="46">
        <v>1146.11</v>
      </c>
      <c r="D27" s="47">
        <v>3186.71</v>
      </c>
      <c r="E27" s="81">
        <v>2046.31</v>
      </c>
      <c r="F27" s="29">
        <v>1555.33</v>
      </c>
      <c r="G27" s="91">
        <v>1837.4</v>
      </c>
      <c r="H27" s="91">
        <v>1573.2</v>
      </c>
      <c r="I27" s="53">
        <v>1573.4</v>
      </c>
      <c r="J27" s="53">
        <v>1761.71</v>
      </c>
      <c r="K27" s="53">
        <v>2003.5</v>
      </c>
      <c r="L27" s="53">
        <v>1768.81</v>
      </c>
      <c r="M27" s="86">
        <f>5.19+177.48</f>
        <v>182.67</v>
      </c>
      <c r="N27" s="48">
        <f>2.98+111.41</f>
        <v>114.39</v>
      </c>
      <c r="O27" s="48">
        <f>5.06+143.45</f>
        <v>148.51</v>
      </c>
      <c r="P27" s="48">
        <f>6.01+211</f>
        <v>217.01</v>
      </c>
      <c r="Q27" s="48">
        <f>11.05+381.49</f>
        <v>392.54</v>
      </c>
      <c r="R27" s="48">
        <f>3.3+123.36</f>
        <v>126.66</v>
      </c>
      <c r="S27" s="48">
        <f>3.3+123.36</f>
        <v>126.66</v>
      </c>
      <c r="T27" s="48">
        <f>3.37+123.36</f>
        <v>126.73</v>
      </c>
      <c r="U27" s="48">
        <f>3.37+123.36</f>
        <v>126.73</v>
      </c>
      <c r="V27" s="48">
        <f>3.42+124.25</f>
        <v>127.67</v>
      </c>
      <c r="W27" s="48">
        <f>3.7+135.35</f>
        <v>139.04999999999998</v>
      </c>
      <c r="X27" s="49">
        <f>3.7+135.35</f>
        <v>139.04999999999998</v>
      </c>
      <c r="Y27" s="53">
        <f>SUM(M27:X27)</f>
        <v>1967.67</v>
      </c>
      <c r="Z27" s="96">
        <f>SUM(C27:X27)</f>
        <v>20420.14999999999</v>
      </c>
    </row>
    <row r="28" spans="1:26" ht="13.5" customHeight="1" thickBot="1">
      <c r="A28" s="80"/>
      <c r="B28" s="58" t="s">
        <v>51</v>
      </c>
      <c r="C28" s="51"/>
      <c r="D28" s="85"/>
      <c r="E28" s="82"/>
      <c r="F28" s="53"/>
      <c r="G28" s="34">
        <f>G9*5%</f>
        <v>2326.41</v>
      </c>
      <c r="H28" s="34">
        <f>H9*5%</f>
        <v>2357.1200000000003</v>
      </c>
      <c r="I28" s="35">
        <f>I9*5%</f>
        <v>2363.262</v>
      </c>
      <c r="J28" s="87">
        <f>J9*5%</f>
        <v>2363.262</v>
      </c>
      <c r="K28" s="87">
        <f>K9*5%</f>
        <v>2363.262</v>
      </c>
      <c r="L28" s="35">
        <f>(L9+L10)*5%</f>
        <v>2277.3885</v>
      </c>
      <c r="M28" s="87">
        <f>(M9+M10)*5%</f>
        <v>189.506</v>
      </c>
      <c r="N28" s="87">
        <f aca="true" t="shared" si="7" ref="N28:X28">(N9+N10)*5%</f>
        <v>189.506</v>
      </c>
      <c r="O28" s="87">
        <f t="shared" si="7"/>
        <v>189.506</v>
      </c>
      <c r="P28" s="87">
        <f t="shared" si="7"/>
        <v>189.506</v>
      </c>
      <c r="Q28" s="87">
        <f t="shared" si="7"/>
        <v>189.506</v>
      </c>
      <c r="R28" s="87">
        <f t="shared" si="7"/>
        <v>189.506</v>
      </c>
      <c r="S28" s="87">
        <f t="shared" si="7"/>
        <v>189.61450000000002</v>
      </c>
      <c r="T28" s="87">
        <f t="shared" si="7"/>
        <v>189.61450000000002</v>
      </c>
      <c r="U28" s="87">
        <f t="shared" si="7"/>
        <v>189.61450000000002</v>
      </c>
      <c r="V28" s="87">
        <f t="shared" si="7"/>
        <v>189.61450000000002</v>
      </c>
      <c r="W28" s="87">
        <f t="shared" si="7"/>
        <v>189.61450000000002</v>
      </c>
      <c r="X28" s="87">
        <f t="shared" si="7"/>
        <v>189.61450000000002</v>
      </c>
      <c r="Y28" s="35">
        <f>SUM(M28:X28)</f>
        <v>2274.723000000001</v>
      </c>
      <c r="Z28" s="94"/>
    </row>
    <row r="29" spans="1:26" ht="13.5" customHeight="1" thickBot="1">
      <c r="A29" s="79">
        <v>5</v>
      </c>
      <c r="B29" s="50" t="s">
        <v>43</v>
      </c>
      <c r="C29" s="51">
        <v>0</v>
      </c>
      <c r="D29" s="52">
        <f>SUM(D9-D12)</f>
        <v>-7475.049999999996</v>
      </c>
      <c r="E29" s="82"/>
      <c r="F29" s="56"/>
      <c r="G29" s="88"/>
      <c r="H29" s="91"/>
      <c r="I29" s="53"/>
      <c r="J29" s="87"/>
      <c r="K29" s="87">
        <f>SUM(K9+K10-K12)-K28</f>
        <v>-10741.211999999998</v>
      </c>
      <c r="L29" s="35">
        <f>SUM(L9+L10-L12)-L28</f>
        <v>5755.071499999999</v>
      </c>
      <c r="M29" s="87">
        <f>SUM(M9+M10+M11-M12)-M28</f>
        <v>-2694.836</v>
      </c>
      <c r="N29" s="87">
        <f>SUM(N9+N10+N11-N12)-N28</f>
        <v>1010.6039999999997</v>
      </c>
      <c r="O29" s="87">
        <f aca="true" t="shared" si="8" ref="O29:X29">SUM(O9+O10+O11-O12)-O28</f>
        <v>1390.874</v>
      </c>
      <c r="P29" s="87">
        <f t="shared" si="8"/>
        <v>925.1039999999997</v>
      </c>
      <c r="Q29" s="87">
        <f t="shared" si="8"/>
        <v>1157.4439999999997</v>
      </c>
      <c r="R29" s="87">
        <f t="shared" si="8"/>
        <v>1446.9639999999997</v>
      </c>
      <c r="S29" s="87">
        <f t="shared" si="8"/>
        <v>1048.6055000000001</v>
      </c>
      <c r="T29" s="87">
        <f t="shared" si="8"/>
        <v>-3424.434499999998</v>
      </c>
      <c r="U29" s="87">
        <f t="shared" si="8"/>
        <v>859.6855000000006</v>
      </c>
      <c r="V29" s="87">
        <f t="shared" si="8"/>
        <v>701.3354999999998</v>
      </c>
      <c r="W29" s="87">
        <f t="shared" si="8"/>
        <v>525.7054999999997</v>
      </c>
      <c r="X29" s="87">
        <f t="shared" si="8"/>
        <v>373.36549999999954</v>
      </c>
      <c r="Y29" s="35">
        <f>SUM(M29:X29)</f>
        <v>3320.4170000000013</v>
      </c>
      <c r="Z29" s="36"/>
    </row>
    <row r="30" spans="1:26" ht="24" customHeight="1" thickBot="1">
      <c r="A30" s="79">
        <v>6</v>
      </c>
      <c r="B30" s="54" t="s">
        <v>22</v>
      </c>
      <c r="C30" s="55">
        <v>7533.71</v>
      </c>
      <c r="D30" s="52">
        <f>SUM(D9-D12)</f>
        <v>-7475.049999999996</v>
      </c>
      <c r="E30" s="82">
        <f>SUM(E9-E12)</f>
        <v>-3164.2999999999884</v>
      </c>
      <c r="F30" s="35">
        <f>SUM(F9-F12)</f>
        <v>-12468.900000000001</v>
      </c>
      <c r="G30" s="82">
        <f>SUM(G9-G12)-G28</f>
        <v>-9233.48</v>
      </c>
      <c r="H30" s="82">
        <f>SUM(H9-H12)-H28</f>
        <v>3200.6700000000005</v>
      </c>
      <c r="I30" s="56">
        <f>SUM(I9-I12)-I28</f>
        <v>-7367.0620000000035</v>
      </c>
      <c r="J30" s="56">
        <v>-194.09</v>
      </c>
      <c r="K30" s="87">
        <f>SUM(K9+K10-K12)-K28</f>
        <v>-10741.211999999998</v>
      </c>
      <c r="L30" s="87">
        <f>SUM(L9+L10-L12)-L28</f>
        <v>5755.071499999999</v>
      </c>
      <c r="M30" s="87">
        <f>SUM(M9+M10+M11-M12)-M28</f>
        <v>-2694.836</v>
      </c>
      <c r="N30" s="87">
        <f>SUM(M30+N29)</f>
        <v>-1684.232</v>
      </c>
      <c r="O30" s="87">
        <f aca="true" t="shared" si="9" ref="O30:X30">SUM(N30+O29)</f>
        <v>-293.35799999999995</v>
      </c>
      <c r="P30" s="87">
        <f t="shared" si="9"/>
        <v>631.7459999999998</v>
      </c>
      <c r="Q30" s="87">
        <f t="shared" si="9"/>
        <v>1789.1899999999996</v>
      </c>
      <c r="R30" s="87">
        <f t="shared" si="9"/>
        <v>3236.1539999999995</v>
      </c>
      <c r="S30" s="87">
        <f t="shared" si="9"/>
        <v>4284.7595</v>
      </c>
      <c r="T30" s="87">
        <f t="shared" si="9"/>
        <v>860.3250000000021</v>
      </c>
      <c r="U30" s="87">
        <f t="shared" si="9"/>
        <v>1720.0105000000026</v>
      </c>
      <c r="V30" s="87">
        <f t="shared" si="9"/>
        <v>2421.3460000000023</v>
      </c>
      <c r="W30" s="87">
        <f t="shared" si="9"/>
        <v>2947.051500000002</v>
      </c>
      <c r="X30" s="87">
        <f t="shared" si="9"/>
        <v>3320.4170000000013</v>
      </c>
      <c r="Y30" s="56"/>
      <c r="Z30" s="35"/>
    </row>
    <row r="31" spans="1:26" ht="24.75" customHeight="1" thickBot="1">
      <c r="A31" s="79">
        <v>7</v>
      </c>
      <c r="B31" s="57" t="s">
        <v>23</v>
      </c>
      <c r="C31" s="58">
        <v>7533.71</v>
      </c>
      <c r="D31" s="59">
        <f>SUM(D9-D12,C31)</f>
        <v>58.6600000000044</v>
      </c>
      <c r="E31" s="60">
        <f>SUM(E9-E12,D31)</f>
        <v>-3105.639999999984</v>
      </c>
      <c r="F31" s="35">
        <f>SUM(F9-F12,E31)</f>
        <v>-15574.539999999986</v>
      </c>
      <c r="G31" s="33">
        <f>SUM(G30+F31)</f>
        <v>-24808.019999999986</v>
      </c>
      <c r="H31" s="34">
        <f>SUM(H30+G31)</f>
        <v>-21607.349999999984</v>
      </c>
      <c r="I31" s="35">
        <f>SUM(I30+H31)</f>
        <v>-28974.41199999999</v>
      </c>
      <c r="J31" s="35">
        <f>SUM(J30+I31)-0.04</f>
        <v>-29168.54199999999</v>
      </c>
      <c r="K31" s="35">
        <f>SUM(K30+J31)</f>
        <v>-39909.753999999986</v>
      </c>
      <c r="L31" s="35">
        <f>SUM(L30+K31)</f>
        <v>-34154.68249999999</v>
      </c>
      <c r="M31" s="35">
        <f>SUM(M30+L31)</f>
        <v>-36849.51849999999</v>
      </c>
      <c r="N31" s="33">
        <f>SUM(N29+M31)</f>
        <v>-35838.91449999999</v>
      </c>
      <c r="O31" s="33">
        <f>SUM(O29+N31)</f>
        <v>-34448.04049999999</v>
      </c>
      <c r="P31" s="33">
        <f>SUM(P29+O31)</f>
        <v>-33522.93649999999</v>
      </c>
      <c r="Q31" s="33">
        <f aca="true" t="shared" si="10" ref="Q31:W31">SUM(Q29+P31)</f>
        <v>-32365.49249999999</v>
      </c>
      <c r="R31" s="33">
        <f t="shared" si="10"/>
        <v>-30918.52849999999</v>
      </c>
      <c r="S31" s="33">
        <f t="shared" si="10"/>
        <v>-29869.922999999988</v>
      </c>
      <c r="T31" s="33">
        <f t="shared" si="10"/>
        <v>-33294.357499999984</v>
      </c>
      <c r="U31" s="33">
        <f t="shared" si="10"/>
        <v>-32434.671999999984</v>
      </c>
      <c r="V31" s="33">
        <f t="shared" si="10"/>
        <v>-31733.336499999983</v>
      </c>
      <c r="W31" s="33">
        <f t="shared" si="10"/>
        <v>-31207.630999999983</v>
      </c>
      <c r="X31" s="33">
        <f>SUM(X29+W31)</f>
        <v>-30834.265499999983</v>
      </c>
      <c r="Y31" s="35"/>
      <c r="Z31" s="36"/>
    </row>
    <row r="32" spans="1:26" ht="23.25" hidden="1" thickBot="1">
      <c r="A32" s="12">
        <v>8</v>
      </c>
      <c r="B32" s="57" t="s">
        <v>7</v>
      </c>
      <c r="C32" s="58"/>
      <c r="D32" s="61"/>
      <c r="E32" s="61"/>
      <c r="F32" s="61"/>
      <c r="G32" s="61"/>
      <c r="H32" s="61"/>
      <c r="I32" s="61"/>
      <c r="J32" s="61"/>
      <c r="K32" s="61"/>
      <c r="L32" s="61"/>
      <c r="M32" s="33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35"/>
      <c r="Z32" s="53"/>
    </row>
    <row r="33" spans="1:26" ht="15" customHeight="1" hidden="1" thickBot="1">
      <c r="A33" s="13">
        <v>9</v>
      </c>
      <c r="B33" s="62" t="s">
        <v>39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  <c r="Z33" s="35"/>
    </row>
    <row r="34" spans="1:26" ht="0.75" customHeight="1" thickBot="1">
      <c r="A34" s="13">
        <v>10</v>
      </c>
      <c r="B34" s="69" t="s">
        <v>40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>
        <f>SUM(X30-X32)</f>
        <v>3320.4170000000013</v>
      </c>
      <c r="Y34" s="74"/>
      <c r="Z34" s="75"/>
    </row>
    <row r="35" spans="1:26" ht="22.5" customHeight="1" hidden="1" thickBot="1">
      <c r="A35" s="19">
        <v>11</v>
      </c>
      <c r="B35" s="69" t="s">
        <v>24</v>
      </c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>
        <f>SUM(X31-X32)</f>
        <v>-30834.265499999983</v>
      </c>
      <c r="Y35" s="74"/>
      <c r="Z35" s="75"/>
    </row>
    <row r="36" spans="1:26" ht="11.25" customHeight="1" hidden="1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ht="12" customHeight="1">
      <c r="B37" t="s">
        <v>57</v>
      </c>
    </row>
    <row r="38" ht="12.75" hidden="1"/>
    <row r="41" ht="18" customHeight="1"/>
    <row r="42" ht="20.25" customHeight="1"/>
  </sheetData>
  <sheetProtection/>
  <mergeCells count="5">
    <mergeCell ref="B6:Z6"/>
    <mergeCell ref="B7:Z7"/>
    <mergeCell ref="B5:Z5"/>
    <mergeCell ref="B1:O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2021-02-04T10:38:13Z</cp:lastPrinted>
  <dcterms:created xsi:type="dcterms:W3CDTF">2011-06-16T11:06:26Z</dcterms:created>
  <dcterms:modified xsi:type="dcterms:W3CDTF">2021-02-05T11:31:03Z</dcterms:modified>
  <cp:category/>
  <cp:version/>
  <cp:contentType/>
  <cp:contentStatus/>
</cp:coreProperties>
</file>