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<sst xmlns="http://schemas.openxmlformats.org/spreadsheetml/2006/main" count="82" uniqueCount="82">
  <si>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</si>
  <si>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</si>
  <si>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</si>
  <si>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</si>
  <si>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</si>
  <si>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</si>
  <si>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</si>
  <si>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</si>
  <si>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</si>
  <si>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</si>
  <si>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</si>
  <si>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</si>
  <si>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</si>
  <si>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</si>
  <si>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</si>
  <si>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</si>
  <si>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</si>
  <si>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</si>
  <si>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</si>
  <si>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</si>
  <si>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</si>
  <si>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</si>
  <si>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</si>
  <si>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</si>
  <si>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</si>
  <si>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</si>
  <si>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</si>
  <si>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</si>
  <si>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5</t>
  </si>
  <si>
    <t>6</t>
  </si>
  <si>
    <t>7</t>
  </si>
  <si>
    <t>8</t>
  </si>
  <si>
    <t>9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</si>
  <si>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</si>
  <si>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</si>
  <si>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</si>
  <si>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</si>
  <si>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</si>
  <si>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</si>
  <si>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</si>
  <si>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</si>
  <si>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</si>
  <si>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пер.Крупской д.3</t>
  </si>
  <si>
    <t>за 2010г.</t>
  </si>
  <si>
    <t>за 2009 г.</t>
  </si>
  <si>
    <t>10</t>
  </si>
  <si>
    <t>Финансовый результат по дому с начала года</t>
  </si>
  <si>
    <t>Итого за 2011 г</t>
  </si>
  <si>
    <t>Задолженность на 01.___________.2011г</t>
  </si>
  <si>
    <t>Проверка дымовых каналов</t>
  </si>
  <si>
    <t>результат за месяц</t>
  </si>
  <si>
    <t>12331,15</t>
  </si>
  <si>
    <t>Благоустройство территории</t>
  </si>
  <si>
    <t>4.13</t>
  </si>
  <si>
    <t>4.12</t>
  </si>
  <si>
    <t>Итого за 2012 г</t>
  </si>
  <si>
    <t>Итого за 2013 г</t>
  </si>
  <si>
    <t>4.3</t>
  </si>
  <si>
    <t>Тех.обслуживание  газопровода</t>
  </si>
  <si>
    <t xml:space="preserve">Материалы 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</si>
  <si>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</si>
  <si>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</si>
  <si>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</si>
  <si>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</si>
  <si>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</si>
  <si>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</si>
  <si>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</si>
  <si>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</si>
  <si>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</si>
  <si>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</si>
  <si>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</si>
  <si>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CОИД</t>
  </si>
  <si>
    <t>Холодная вода СОИД</t>
  </si>
  <si>
    <t>Канализация СОИД</t>
  </si>
  <si>
    <t>Итого за 2018 г</t>
  </si>
  <si>
    <t>Итого за 2019 г</t>
  </si>
  <si>
    <t>Дом по пер.Крупской д.3 вступил в ООО "Наш дом" в октябре 2009 года     тариф 9,32 руб, с 1 января 2019 г  тариф 8,7 руб.</t>
  </si>
  <si>
    <t>ООО "НД УНЕЧА"</t>
  </si>
  <si>
    <t>Итого за 2020 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</si>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</sst>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1" fillId="0" borderId="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6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/>
    </xf>
    <xf numFmtId="2" fontId="20" fillId="0" borderId="17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15" xfId="0" applyFont="1" applyBorder="1" applyAlignment="1">
      <alignment horizontal="right" wrapText="1"/>
    </xf>
    <xf numFmtId="0" fontId="20" fillId="0" borderId="25" xfId="0" applyFont="1" applyBorder="1" applyAlignment="1">
      <alignment horizontal="right"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49" fontId="20" fillId="0" borderId="37" xfId="0" applyNumberFormat="1" applyFont="1" applyBorder="1" applyAlignment="1">
      <alignment horizontal="center"/>
    </xf>
    <xf numFmtId="0" fontId="20" fillId="0" borderId="38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20" fillId="0" borderId="40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3" xfId="0" applyFont="1" applyBorder="1" applyAlignment="1">
      <alignment/>
    </xf>
    <xf numFmtId="49" fontId="20" fillId="0" borderId="27" xfId="0" applyNumberFormat="1" applyFont="1" applyBorder="1" applyAlignment="1">
      <alignment horizontal="center"/>
    </xf>
    <xf numFmtId="0" fontId="20" fillId="2" borderId="32" xfId="0" applyFont="1" applyFill="1" applyBorder="1" applyAlignment="1">
      <alignment wrapText="1"/>
    </xf>
    <xf numFmtId="0" fontId="20" fillId="0" borderId="34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2" borderId="38" xfId="0" applyFont="1" applyFill="1" applyBorder="1" applyAlignment="1">
      <alignment wrapText="1"/>
    </xf>
    <xf numFmtId="0" fontId="20" fillId="2" borderId="19" xfId="0" applyFont="1" applyFill="1" applyBorder="1" applyAlignment="1">
      <alignment wrapText="1"/>
    </xf>
    <xf numFmtId="0" fontId="19" fillId="2" borderId="40" xfId="0" applyFont="1" applyFill="1" applyBorder="1" applyAlignment="1">
      <alignment/>
    </xf>
    <xf numFmtId="0" fontId="19" fillId="2" borderId="34" xfId="0" applyFont="1" applyFill="1" applyBorder="1" applyAlignment="1">
      <alignment/>
    </xf>
    <xf numFmtId="0" fontId="19" fillId="2" borderId="33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40" xfId="0" applyFont="1" applyBorder="1" applyAlignment="1">
      <alignment wrapText="1"/>
    </xf>
    <xf numFmtId="0" fontId="20" fillId="2" borderId="44" xfId="0" applyFont="1" applyFill="1" applyBorder="1" applyAlignment="1">
      <alignment wrapText="1"/>
    </xf>
    <xf numFmtId="0" fontId="20" fillId="0" borderId="45" xfId="0" applyFont="1" applyBorder="1" applyAlignment="1">
      <alignment/>
    </xf>
    <xf numFmtId="2" fontId="20" fillId="0" borderId="46" xfId="0" applyNumberFormat="1" applyFont="1" applyBorder="1" applyAlignment="1">
      <alignment/>
    </xf>
    <xf numFmtId="0" fontId="20" fillId="0" borderId="47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2" fontId="20" fillId="0" borderId="35" xfId="0" applyNumberFormat="1" applyFont="1" applyBorder="1" applyAlignment="1">
      <alignment/>
    </xf>
    <xf numFmtId="2" fontId="20" fillId="0" borderId="34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2" fontId="20" fillId="0" borderId="49" xfId="0" applyNumberFormat="1" applyFont="1" applyBorder="1" applyAlignment="1">
      <alignment wrapText="1"/>
    </xf>
    <xf numFmtId="0" fontId="20" fillId="0" borderId="50" xfId="0" applyFont="1" applyBorder="1" applyAlignment="1">
      <alignment wrapText="1"/>
    </xf>
    <xf numFmtId="0" fontId="20" fillId="0" borderId="50" xfId="0" applyFont="1" applyBorder="1" applyAlignment="1">
      <alignment horizontal="right" wrapText="1"/>
    </xf>
    <xf numFmtId="0" fontId="20" fillId="0" borderId="51" xfId="0" applyFont="1" applyBorder="1" applyAlignment="1">
      <alignment wrapText="1"/>
    </xf>
    <xf numFmtId="2" fontId="20" fillId="0" borderId="36" xfId="0" applyNumberFormat="1" applyFont="1" applyBorder="1" applyAlignment="1">
      <alignment/>
    </xf>
    <xf numFmtId="0" fontId="25" fillId="0" borderId="10" xfId="0" applyFont="1" applyBorder="1" applyAlignment="1">
      <alignment/>
    </xf>
    <xf numFmtId="2" fontId="25" fillId="0" borderId="16" xfId="0" applyNumberFormat="1" applyFont="1" applyBorder="1" applyAlignment="1">
      <alignment horizontal="right"/>
    </xf>
    <xf numFmtId="0" fontId="25" fillId="0" borderId="16" xfId="0" applyFont="1" applyBorder="1" applyAlignment="1">
      <alignment/>
    </xf>
    <xf numFmtId="0" fontId="25" fillId="0" borderId="31" xfId="0" applyFont="1" applyBorder="1" applyAlignment="1">
      <alignment/>
    </xf>
    <xf numFmtId="0" fontId="26" fillId="0" borderId="11" xfId="0" applyFont="1" applyBorder="1" applyAlignment="1">
      <alignment wrapText="1"/>
    </xf>
    <xf numFmtId="49" fontId="27" fillId="0" borderId="23" xfId="0" applyNumberFormat="1" applyFont="1" applyBorder="1" applyAlignment="1">
      <alignment horizontal="right"/>
    </xf>
    <xf numFmtId="0" fontId="27" fillId="0" borderId="2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48" xfId="0" applyFont="1" applyBorder="1" applyAlignment="1">
      <alignment/>
    </xf>
    <xf numFmtId="49" fontId="28" fillId="0" borderId="11" xfId="0" applyNumberFormat="1" applyFont="1" applyBorder="1" applyAlignment="1">
      <alignment horizontal="right"/>
    </xf>
    <xf numFmtId="0" fontId="27" fillId="0" borderId="43" xfId="0" applyFont="1" applyBorder="1" applyAlignment="1">
      <alignment wrapText="1"/>
    </xf>
    <xf numFmtId="0" fontId="27" fillId="0" borderId="42" xfId="0" applyFont="1" applyBorder="1" applyAlignment="1">
      <alignment wrapText="1"/>
    </xf>
    <xf numFmtId="0" fontId="27" fillId="0" borderId="52" xfId="0" applyFont="1" applyBorder="1" applyAlignment="1">
      <alignment/>
    </xf>
    <xf numFmtId="2" fontId="27" fillId="0" borderId="42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2" fontId="27" fillId="0" borderId="54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0" fontId="24" fillId="0" borderId="3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0" fillId="0" borderId="44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9">
      <selection activeCell="X25" sqref="X25"/>
    </sheetView>
  </sheetViews>
  <sheetFormatPr defaultColWidth="9.00390625" defaultRowHeight="12.75"/>
  <cols>
    <col min="1" max="1" width="3.875" style="0" customWidth="1"/>
    <col min="2" max="2" width="19.625" style="0" customWidth="1"/>
    <col min="3" max="3" width="11.25390625" style="0" hidden="1" customWidth="1"/>
    <col min="4" max="4" width="12.00390625" style="0" hidden="1" customWidth="1"/>
    <col min="5" max="5" width="9.25390625" style="0" hidden="1" customWidth="1"/>
    <col min="6" max="6" width="9.875" style="0" hidden="1" customWidth="1"/>
    <col min="7" max="7" width="0.12890625" style="0" hidden="1" customWidth="1"/>
    <col min="8" max="8" width="9.00390625" style="0" hidden="1" customWidth="1"/>
    <col min="9" max="9" width="8.75390625" style="0" hidden="1" customWidth="1"/>
    <col min="10" max="10" width="8.875" style="0" hidden="1" customWidth="1"/>
    <col min="11" max="11" width="9.625" style="0" hidden="1" customWidth="1"/>
    <col min="12" max="12" width="9.25390625" style="0" hidden="1" customWidth="1"/>
    <col min="13" max="13" width="8.875" style="0" hidden="1" customWidth="1"/>
    <col min="14" max="14" width="9.00390625" style="0" customWidth="1"/>
    <col min="15" max="15" width="8.125" style="0" customWidth="1"/>
    <col min="16" max="16" width="9.125" style="0" customWidth="1"/>
    <col min="17" max="17" width="8.75390625" style="0" customWidth="1"/>
    <col min="18" max="18" width="8.625" style="0" customWidth="1"/>
    <col min="19" max="19" width="8.125" style="0" customWidth="1"/>
    <col min="20" max="20" width="8.625" style="0" customWidth="1"/>
    <col min="21" max="21" width="8.125" style="0" customWidth="1"/>
    <col min="22" max="22" width="7.875" style="0" customWidth="1"/>
    <col min="23" max="23" width="9.00390625" style="0" customWidth="1"/>
    <col min="24" max="24" width="8.125" style="0" customWidth="1"/>
    <col min="25" max="25" width="9.00390625" style="0" customWidth="1"/>
    <col min="27" max="27" width="9.375" style="0" customWidth="1"/>
  </cols>
  <sheetData>
    <row r="1" spans="2:32" ht="12.75" customHeight="1">
      <c r="B1" s="120" t="s">
        <v>77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 hidden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" customHeight="1">
      <c r="B3" s="120" t="s">
        <v>76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4"/>
      <c r="AC3" s="4"/>
      <c r="AD3" s="4"/>
      <c r="AE3" s="4"/>
      <c r="AF3" s="4"/>
    </row>
    <row r="4" spans="2:32" ht="12.75" customHeight="1" hidden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ht="12.75" customHeight="1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3"/>
      <c r="AC5" s="3"/>
      <c r="AD5" s="3"/>
      <c r="AE5" s="3"/>
      <c r="AF5" s="3"/>
    </row>
    <row r="6" spans="2:32" ht="15" customHeight="1">
      <c r="B6" s="118" t="s">
        <v>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2"/>
      <c r="AC6" s="2"/>
      <c r="AD6" s="2"/>
      <c r="AE6" s="2"/>
      <c r="AF6" s="2"/>
    </row>
    <row r="7" spans="2:32" ht="16.5" customHeight="1" thickBot="1">
      <c r="B7" s="118" t="s">
        <v>42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2"/>
      <c r="AC7" s="2"/>
      <c r="AD7" s="2"/>
      <c r="AE7" s="2"/>
      <c r="AF7" s="2"/>
    </row>
    <row r="8" spans="2:32" ht="16.5" customHeight="1" hidden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</row>
    <row r="9" spans="1:32" ht="36" customHeight="1" thickBot="1">
      <c r="A9" s="9" t="s">
        <v>24</v>
      </c>
      <c r="B9" s="10" t="s">
        <v>5</v>
      </c>
      <c r="C9" s="10" t="s">
        <v>44</v>
      </c>
      <c r="D9" s="11" t="s">
        <v>43</v>
      </c>
      <c r="E9" s="12" t="s">
        <v>47</v>
      </c>
      <c r="F9" s="12" t="s">
        <v>55</v>
      </c>
      <c r="G9" s="12" t="s">
        <v>56</v>
      </c>
      <c r="H9" s="12" t="s">
        <v>60</v>
      </c>
      <c r="I9" s="12" t="s">
        <v>62</v>
      </c>
      <c r="J9" s="12" t="s">
        <v>68</v>
      </c>
      <c r="K9" s="12" t="s">
        <v>69</v>
      </c>
      <c r="L9" s="12" t="s">
        <v>74</v>
      </c>
      <c r="M9" s="12" t="s">
        <v>75</v>
      </c>
      <c r="N9" s="15" t="s">
        <v>9</v>
      </c>
      <c r="O9" s="83" t="s">
        <v>10</v>
      </c>
      <c r="P9" s="13" t="s">
        <v>11</v>
      </c>
      <c r="Q9" s="13" t="s">
        <v>12</v>
      </c>
      <c r="R9" s="13" t="s">
        <v>13</v>
      </c>
      <c r="S9" s="13" t="s">
        <v>14</v>
      </c>
      <c r="T9" s="13" t="s">
        <v>15</v>
      </c>
      <c r="U9" s="13" t="s">
        <v>16</v>
      </c>
      <c r="V9" s="13" t="s">
        <v>17</v>
      </c>
      <c r="W9" s="13" t="s">
        <v>18</v>
      </c>
      <c r="X9" s="13" t="s">
        <v>20</v>
      </c>
      <c r="Y9" s="14" t="s">
        <v>19</v>
      </c>
      <c r="Z9" s="12" t="s">
        <v>78</v>
      </c>
      <c r="AA9" s="15" t="s">
        <v>79</v>
      </c>
      <c r="AB9" s="1"/>
      <c r="AC9" s="1"/>
      <c r="AD9" s="1"/>
      <c r="AE9" s="1"/>
      <c r="AF9" s="1"/>
    </row>
    <row r="10" spans="1:27" ht="13.5" thickBot="1">
      <c r="A10" s="16" t="s">
        <v>25</v>
      </c>
      <c r="B10" s="17" t="s">
        <v>1</v>
      </c>
      <c r="C10" s="18">
        <v>13595.4</v>
      </c>
      <c r="D10" s="18">
        <v>54581.63</v>
      </c>
      <c r="E10" s="19">
        <v>60210.62</v>
      </c>
      <c r="F10" s="18">
        <v>61354.72</v>
      </c>
      <c r="G10" s="18">
        <v>61500.6</v>
      </c>
      <c r="H10" s="88">
        <v>61528.56</v>
      </c>
      <c r="I10" s="89">
        <v>61528.56</v>
      </c>
      <c r="J10" s="18">
        <v>61528.56</v>
      </c>
      <c r="K10" s="18">
        <v>61569.56</v>
      </c>
      <c r="L10" s="18">
        <v>61651.56</v>
      </c>
      <c r="M10" s="18">
        <v>57550.56</v>
      </c>
      <c r="N10" s="84">
        <v>4795.88</v>
      </c>
      <c r="O10" s="84">
        <v>4795.88</v>
      </c>
      <c r="P10" s="84">
        <v>4795.88</v>
      </c>
      <c r="Q10" s="84">
        <v>4795.88</v>
      </c>
      <c r="R10" s="84">
        <v>4795.88</v>
      </c>
      <c r="S10" s="84">
        <v>4795.88</v>
      </c>
      <c r="T10" s="84">
        <v>4795.88</v>
      </c>
      <c r="U10" s="84">
        <v>4795.88</v>
      </c>
      <c r="V10" s="84">
        <v>4795.88</v>
      </c>
      <c r="W10" s="84">
        <v>4795.88</v>
      </c>
      <c r="X10" s="84">
        <v>4795.88</v>
      </c>
      <c r="Y10" s="84">
        <v>4795.88</v>
      </c>
      <c r="Z10" s="22">
        <f>SUM(N10:Y10)</f>
        <v>57550.55999999999</v>
      </c>
      <c r="AA10" s="95">
        <f>SUM(C10:Y10)</f>
        <v>674150.8900000001</v>
      </c>
    </row>
    <row r="11" spans="1:27" ht="13.5" thickBot="1">
      <c r="A11" s="16"/>
      <c r="B11" s="17" t="s">
        <v>70</v>
      </c>
      <c r="C11" s="88"/>
      <c r="D11" s="88"/>
      <c r="E11" s="19"/>
      <c r="F11" s="88"/>
      <c r="G11" s="88"/>
      <c r="H11" s="88"/>
      <c r="I11" s="89"/>
      <c r="J11" s="88">
        <v>0</v>
      </c>
      <c r="K11" s="88">
        <v>3488.26</v>
      </c>
      <c r="L11" s="88">
        <v>2217.72</v>
      </c>
      <c r="M11" s="88">
        <v>706.86</v>
      </c>
      <c r="N11" s="84">
        <f aca="true" t="shared" si="0" ref="N11:S11">30.86+29.84</f>
        <v>60.7</v>
      </c>
      <c r="O11" s="84">
        <f t="shared" si="0"/>
        <v>60.7</v>
      </c>
      <c r="P11" s="84">
        <f t="shared" si="0"/>
        <v>60.7</v>
      </c>
      <c r="Q11" s="84">
        <f t="shared" si="0"/>
        <v>60.7</v>
      </c>
      <c r="R11" s="84">
        <f t="shared" si="0"/>
        <v>60.7</v>
      </c>
      <c r="S11" s="84">
        <f t="shared" si="0"/>
        <v>60.7</v>
      </c>
      <c r="T11" s="21">
        <f aca="true" t="shared" si="1" ref="T11:Y11">32.14+29.96</f>
        <v>62.1</v>
      </c>
      <c r="U11" s="21">
        <f t="shared" si="1"/>
        <v>62.1</v>
      </c>
      <c r="V11" s="21">
        <f t="shared" si="1"/>
        <v>62.1</v>
      </c>
      <c r="W11" s="21">
        <f t="shared" si="1"/>
        <v>62.1</v>
      </c>
      <c r="X11" s="21">
        <f t="shared" si="1"/>
        <v>62.1</v>
      </c>
      <c r="Y11" s="21">
        <f t="shared" si="1"/>
        <v>62.1</v>
      </c>
      <c r="Z11" s="22">
        <f>SUM(N11:Y11)</f>
        <v>736.8000000000001</v>
      </c>
      <c r="AA11" s="95">
        <f>SUM(C11:Y11)</f>
        <v>7149.64</v>
      </c>
    </row>
    <row r="12" spans="1:27" ht="13.5" thickBot="1">
      <c r="A12" s="16"/>
      <c r="B12" s="114" t="s">
        <v>80</v>
      </c>
      <c r="C12" s="115"/>
      <c r="D12" s="115"/>
      <c r="E12" s="115"/>
      <c r="F12" s="116"/>
      <c r="G12" s="116"/>
      <c r="H12" s="116"/>
      <c r="I12" s="115"/>
      <c r="J12" s="116"/>
      <c r="K12" s="116"/>
      <c r="L12" s="116"/>
      <c r="M12" s="116"/>
      <c r="N12" s="117">
        <v>400</v>
      </c>
      <c r="O12" s="117">
        <v>400</v>
      </c>
      <c r="P12" s="117">
        <v>400</v>
      </c>
      <c r="Q12" s="117">
        <v>400</v>
      </c>
      <c r="R12" s="117">
        <v>400</v>
      </c>
      <c r="S12" s="117">
        <v>400</v>
      </c>
      <c r="T12" s="117">
        <v>400</v>
      </c>
      <c r="U12" s="117">
        <v>400</v>
      </c>
      <c r="V12" s="117">
        <v>400</v>
      </c>
      <c r="W12" s="117">
        <v>400</v>
      </c>
      <c r="X12" s="117">
        <v>400</v>
      </c>
      <c r="Y12" s="117">
        <v>400</v>
      </c>
      <c r="Z12" s="22">
        <f>SUM(N12:Y12)</f>
        <v>4800</v>
      </c>
      <c r="AA12" s="95">
        <f>SUM(C12:Y12)</f>
        <v>4800</v>
      </c>
    </row>
    <row r="13" spans="1:27" ht="13.5" thickBot="1">
      <c r="A13" s="16" t="s">
        <v>26</v>
      </c>
      <c r="B13" s="99" t="s">
        <v>2</v>
      </c>
      <c r="C13" s="100" t="s">
        <v>51</v>
      </c>
      <c r="D13" s="101">
        <f aca="true" t="shared" si="2" ref="D13:N13">SUM(D14:D28)</f>
        <v>69100.39</v>
      </c>
      <c r="E13" s="102">
        <f t="shared" si="2"/>
        <v>62002.869999999995</v>
      </c>
      <c r="F13" s="103">
        <f t="shared" si="2"/>
        <v>59304.600000000006</v>
      </c>
      <c r="G13" s="103">
        <f t="shared" si="2"/>
        <v>71687.21</v>
      </c>
      <c r="H13" s="103">
        <f t="shared" si="2"/>
        <v>63758.18000000001</v>
      </c>
      <c r="I13" s="104">
        <f>SUM(I14:I28)</f>
        <v>55831.02</v>
      </c>
      <c r="J13" s="103">
        <f>SUM(J14:J28)</f>
        <v>57977.77</v>
      </c>
      <c r="K13" s="103">
        <f>SUM(K14:K28)</f>
        <v>58979.43</v>
      </c>
      <c r="L13" s="103">
        <f t="shared" si="2"/>
        <v>64869.96000000001</v>
      </c>
      <c r="M13" s="103">
        <f t="shared" si="2"/>
        <v>45569.270000000004</v>
      </c>
      <c r="N13" s="101">
        <f t="shared" si="2"/>
        <v>8499.27</v>
      </c>
      <c r="O13" s="101">
        <f aca="true" t="shared" si="3" ref="O13:Y13">SUM(O14:O28)</f>
        <v>3340.09</v>
      </c>
      <c r="P13" s="101">
        <f t="shared" si="3"/>
        <v>3339.88</v>
      </c>
      <c r="Q13" s="101">
        <f t="shared" si="3"/>
        <v>3209.89</v>
      </c>
      <c r="R13" s="101">
        <f t="shared" si="3"/>
        <v>3316.6399999999994</v>
      </c>
      <c r="S13" s="101">
        <f t="shared" si="3"/>
        <v>3117.1799999999994</v>
      </c>
      <c r="T13" s="101">
        <f t="shared" si="3"/>
        <v>3167.7199999999993</v>
      </c>
      <c r="U13" s="101">
        <f t="shared" si="3"/>
        <v>7454.82</v>
      </c>
      <c r="V13" s="101">
        <f t="shared" si="3"/>
        <v>3797.94</v>
      </c>
      <c r="W13" s="101">
        <f t="shared" si="3"/>
        <v>3956.3100000000004</v>
      </c>
      <c r="X13" s="101">
        <f t="shared" si="3"/>
        <v>4166.59</v>
      </c>
      <c r="Y13" s="104">
        <f t="shared" si="3"/>
        <v>4333.74</v>
      </c>
      <c r="Z13" s="103">
        <f>SUM(N13:Y13)</f>
        <v>51700.07</v>
      </c>
      <c r="AA13" s="105">
        <f aca="true" t="shared" si="4" ref="AA13:AA28">SUM(C13:Y13)</f>
        <v>660780.77</v>
      </c>
    </row>
    <row r="14" spans="1:27" ht="12.75">
      <c r="A14" s="16" t="s">
        <v>27</v>
      </c>
      <c r="B14" s="29" t="s">
        <v>81</v>
      </c>
      <c r="C14" s="29"/>
      <c r="D14" s="30">
        <v>23673.38</v>
      </c>
      <c r="E14" s="31">
        <v>20524.33</v>
      </c>
      <c r="F14" s="30">
        <v>20717.33</v>
      </c>
      <c r="G14" s="30">
        <v>21685.82</v>
      </c>
      <c r="H14" s="30">
        <v>21887.31</v>
      </c>
      <c r="I14" s="90">
        <v>21133.84</v>
      </c>
      <c r="J14" s="30">
        <v>20570.16</v>
      </c>
      <c r="K14" s="30">
        <v>20799.41</v>
      </c>
      <c r="L14" s="30">
        <v>19343.93</v>
      </c>
      <c r="M14" s="30">
        <v>202.42</v>
      </c>
      <c r="N14" s="80"/>
      <c r="O14" s="32">
        <v>12.15</v>
      </c>
      <c r="P14" s="32">
        <v>14.14</v>
      </c>
      <c r="Q14" s="32">
        <v>15.85</v>
      </c>
      <c r="R14" s="32">
        <v>24.53</v>
      </c>
      <c r="S14" s="32">
        <v>18.06</v>
      </c>
      <c r="T14" s="32">
        <v>28.63</v>
      </c>
      <c r="U14" s="32">
        <v>29.64</v>
      </c>
      <c r="V14" s="32">
        <v>72.79</v>
      </c>
      <c r="W14" s="32">
        <v>31.21</v>
      </c>
      <c r="X14" s="32">
        <v>2.32</v>
      </c>
      <c r="Y14" s="33">
        <v>3.09</v>
      </c>
      <c r="Z14" s="24">
        <f aca="true" t="shared" si="5" ref="Z14:Z30">SUM(N14:Y14)</f>
        <v>252.41000000000003</v>
      </c>
      <c r="AA14" s="96">
        <f t="shared" si="4"/>
        <v>190790.34000000005</v>
      </c>
    </row>
    <row r="15" spans="1:27" ht="12.75" customHeight="1">
      <c r="A15" s="16" t="s">
        <v>33</v>
      </c>
      <c r="B15" s="34" t="s">
        <v>66</v>
      </c>
      <c r="C15" s="34"/>
      <c r="D15" s="35">
        <v>15632.43</v>
      </c>
      <c r="E15" s="36">
        <v>7898.98</v>
      </c>
      <c r="F15" s="35">
        <v>672.45</v>
      </c>
      <c r="G15" s="35">
        <v>6597.66</v>
      </c>
      <c r="H15" s="35">
        <v>480</v>
      </c>
      <c r="I15" s="91">
        <v>1495.08</v>
      </c>
      <c r="J15" s="35">
        <v>54.71</v>
      </c>
      <c r="K15" s="35">
        <v>1679.5</v>
      </c>
      <c r="L15" s="35">
        <v>100</v>
      </c>
      <c r="M15" s="35">
        <v>554</v>
      </c>
      <c r="N15" s="79">
        <v>5120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3"/>
      <c r="Z15" s="24">
        <f t="shared" si="5"/>
        <v>5120</v>
      </c>
      <c r="AA15" s="97">
        <f t="shared" si="4"/>
        <v>40284.81</v>
      </c>
    </row>
    <row r="16" spans="1:27" ht="20.25" customHeight="1">
      <c r="A16" s="16" t="s">
        <v>57</v>
      </c>
      <c r="B16" s="34" t="s">
        <v>58</v>
      </c>
      <c r="C16" s="34"/>
      <c r="D16" s="35"/>
      <c r="E16" s="36"/>
      <c r="F16" s="35"/>
      <c r="G16" s="35">
        <v>4204.34</v>
      </c>
      <c r="H16" s="35"/>
      <c r="I16" s="91">
        <v>0</v>
      </c>
      <c r="J16" s="35">
        <v>5424.38</v>
      </c>
      <c r="K16" s="35">
        <v>0</v>
      </c>
      <c r="L16" s="35">
        <v>8240.68</v>
      </c>
      <c r="M16" s="35">
        <v>3723.5</v>
      </c>
      <c r="N16" s="79"/>
      <c r="O16" s="20"/>
      <c r="P16" s="20"/>
      <c r="Q16" s="20"/>
      <c r="R16" s="20"/>
      <c r="S16" s="20"/>
      <c r="T16" s="20"/>
      <c r="U16" s="20">
        <v>3895</v>
      </c>
      <c r="V16" s="20"/>
      <c r="W16" s="20"/>
      <c r="X16" s="20"/>
      <c r="Y16" s="23"/>
      <c r="Z16" s="24">
        <f t="shared" si="5"/>
        <v>3895</v>
      </c>
      <c r="AA16" s="97">
        <f t="shared" si="4"/>
        <v>25487.9</v>
      </c>
    </row>
    <row r="17" spans="1:27" ht="20.25" customHeight="1">
      <c r="A17" s="16" t="s">
        <v>34</v>
      </c>
      <c r="B17" s="25" t="s">
        <v>49</v>
      </c>
      <c r="C17" s="25">
        <v>0</v>
      </c>
      <c r="D17" s="37">
        <v>0</v>
      </c>
      <c r="E17" s="38">
        <v>687.03</v>
      </c>
      <c r="F17" s="37">
        <v>0</v>
      </c>
      <c r="G17" s="37">
        <v>0</v>
      </c>
      <c r="H17" s="37"/>
      <c r="I17" s="92">
        <v>500</v>
      </c>
      <c r="J17" s="37">
        <v>0</v>
      </c>
      <c r="K17" s="37">
        <v>600</v>
      </c>
      <c r="L17" s="37">
        <v>600</v>
      </c>
      <c r="M17" s="37">
        <v>600</v>
      </c>
      <c r="N17" s="7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3"/>
      <c r="Z17" s="24">
        <f t="shared" si="5"/>
        <v>0</v>
      </c>
      <c r="AA17" s="97">
        <f t="shared" si="4"/>
        <v>2987.0299999999997</v>
      </c>
    </row>
    <row r="18" spans="1:27" ht="14.25" customHeight="1">
      <c r="A18" s="16" t="s">
        <v>35</v>
      </c>
      <c r="B18" s="34" t="s">
        <v>59</v>
      </c>
      <c r="C18" s="34"/>
      <c r="D18" s="35">
        <v>9058.52</v>
      </c>
      <c r="E18" s="36">
        <v>287.15</v>
      </c>
      <c r="F18" s="35">
        <v>116.02</v>
      </c>
      <c r="G18" s="35">
        <v>289.01</v>
      </c>
      <c r="H18" s="35">
        <v>3129.69</v>
      </c>
      <c r="I18" s="91">
        <v>-2230.35</v>
      </c>
      <c r="J18" s="35">
        <v>527.5</v>
      </c>
      <c r="K18" s="35">
        <v>560</v>
      </c>
      <c r="L18" s="35">
        <v>160</v>
      </c>
      <c r="M18" s="35">
        <v>2628.89</v>
      </c>
      <c r="N18" s="7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3"/>
      <c r="Z18" s="24">
        <f t="shared" si="5"/>
        <v>0</v>
      </c>
      <c r="AA18" s="97">
        <f t="shared" si="4"/>
        <v>14526.43</v>
      </c>
    </row>
    <row r="19" spans="1:27" ht="24.75" customHeight="1">
      <c r="A19" s="16" t="s">
        <v>36</v>
      </c>
      <c r="B19" s="34" t="s">
        <v>52</v>
      </c>
      <c r="C19" s="34"/>
      <c r="D19" s="35">
        <v>0</v>
      </c>
      <c r="E19" s="36">
        <v>0</v>
      </c>
      <c r="F19" s="35">
        <v>256</v>
      </c>
      <c r="G19" s="35">
        <v>0</v>
      </c>
      <c r="H19" s="35">
        <v>16.97</v>
      </c>
      <c r="I19" s="91">
        <v>52.96</v>
      </c>
      <c r="J19" s="35">
        <v>51</v>
      </c>
      <c r="K19" s="35">
        <v>405.18</v>
      </c>
      <c r="L19" s="35">
        <v>78</v>
      </c>
      <c r="M19" s="35">
        <v>91.64</v>
      </c>
      <c r="N19" s="79">
        <v>40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3"/>
      <c r="Z19" s="24">
        <f>SUM(N19:Y19)</f>
        <v>40</v>
      </c>
      <c r="AA19" s="97">
        <f>SUM(C19:Y19)</f>
        <v>991.75</v>
      </c>
    </row>
    <row r="20" spans="1:27" ht="12" customHeight="1">
      <c r="A20" s="16" t="s">
        <v>37</v>
      </c>
      <c r="B20" s="34" t="s">
        <v>71</v>
      </c>
      <c r="C20" s="34"/>
      <c r="D20" s="35">
        <v>1505.57</v>
      </c>
      <c r="E20" s="36">
        <v>627.39</v>
      </c>
      <c r="F20" s="35">
        <v>229.13</v>
      </c>
      <c r="G20" s="35">
        <v>0</v>
      </c>
      <c r="H20" s="35"/>
      <c r="I20" s="91">
        <v>0</v>
      </c>
      <c r="J20" s="35">
        <v>0</v>
      </c>
      <c r="K20" s="35">
        <v>3018.16</v>
      </c>
      <c r="L20" s="35">
        <v>1534.68</v>
      </c>
      <c r="M20" s="35">
        <v>0</v>
      </c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3"/>
      <c r="Z20" s="24">
        <f t="shared" si="5"/>
        <v>0</v>
      </c>
      <c r="AA20" s="97">
        <f t="shared" si="4"/>
        <v>6914.93</v>
      </c>
    </row>
    <row r="21" spans="1:27" ht="12" customHeight="1">
      <c r="A21" s="16"/>
      <c r="B21" s="34" t="s">
        <v>72</v>
      </c>
      <c r="C21" s="34"/>
      <c r="D21" s="35"/>
      <c r="E21" s="36"/>
      <c r="F21" s="35"/>
      <c r="G21" s="35"/>
      <c r="H21" s="35"/>
      <c r="I21" s="91"/>
      <c r="J21" s="35"/>
      <c r="K21" s="35">
        <v>287.63</v>
      </c>
      <c r="L21" s="35">
        <v>362.7</v>
      </c>
      <c r="M21" s="35">
        <v>367.14</v>
      </c>
      <c r="N21" s="79">
        <v>30.87</v>
      </c>
      <c r="O21" s="79">
        <v>30.87</v>
      </c>
      <c r="P21" s="79">
        <v>30.87</v>
      </c>
      <c r="Q21" s="79">
        <v>30.87</v>
      </c>
      <c r="R21" s="79">
        <v>30.87</v>
      </c>
      <c r="S21" s="79">
        <v>30.87</v>
      </c>
      <c r="T21" s="79">
        <v>32.13</v>
      </c>
      <c r="U21" s="79">
        <v>32.13</v>
      </c>
      <c r="V21" s="79">
        <v>32.13</v>
      </c>
      <c r="W21" s="79">
        <v>32.13</v>
      </c>
      <c r="X21" s="79">
        <v>32.13</v>
      </c>
      <c r="Y21" s="79">
        <v>32.13</v>
      </c>
      <c r="Z21" s="24">
        <f>SUM(N21:Y21)</f>
        <v>378</v>
      </c>
      <c r="AA21" s="97">
        <f>SUM(C21:Y21)</f>
        <v>1395.47</v>
      </c>
    </row>
    <row r="22" spans="1:27" ht="12" customHeight="1">
      <c r="A22" s="16"/>
      <c r="B22" s="34" t="s">
        <v>73</v>
      </c>
      <c r="C22" s="34"/>
      <c r="D22" s="35"/>
      <c r="E22" s="36"/>
      <c r="F22" s="35"/>
      <c r="G22" s="35"/>
      <c r="H22" s="35"/>
      <c r="I22" s="91"/>
      <c r="J22" s="35"/>
      <c r="K22" s="35">
        <v>187.64</v>
      </c>
      <c r="L22" s="35">
        <v>320.7</v>
      </c>
      <c r="M22" s="35">
        <v>337.18</v>
      </c>
      <c r="N22" s="79">
        <v>29.86</v>
      </c>
      <c r="O22" s="79">
        <v>29.86</v>
      </c>
      <c r="P22" s="79">
        <v>29.86</v>
      </c>
      <c r="Q22" s="79">
        <v>29.86</v>
      </c>
      <c r="R22" s="79">
        <v>29.86</v>
      </c>
      <c r="S22" s="79">
        <v>29.86</v>
      </c>
      <c r="T22" s="79">
        <v>29.95</v>
      </c>
      <c r="U22" s="79">
        <v>29.95</v>
      </c>
      <c r="V22" s="79">
        <v>29.95</v>
      </c>
      <c r="W22" s="79">
        <v>29.95</v>
      </c>
      <c r="X22" s="79">
        <v>29.95</v>
      </c>
      <c r="Y22" s="79">
        <v>29.95</v>
      </c>
      <c r="Z22" s="24">
        <f>SUM(N22:Y22)</f>
        <v>358.85999999999996</v>
      </c>
      <c r="AA22" s="97">
        <f>SUM(C22:Y22)</f>
        <v>1204.3800000000003</v>
      </c>
    </row>
    <row r="23" spans="1:27" ht="14.25" customHeight="1">
      <c r="A23" s="16" t="s">
        <v>38</v>
      </c>
      <c r="B23" s="34" t="s">
        <v>4</v>
      </c>
      <c r="C23" s="34"/>
      <c r="D23" s="35">
        <v>664.78</v>
      </c>
      <c r="E23" s="36">
        <v>573.99</v>
      </c>
      <c r="F23" s="35">
        <v>418.9</v>
      </c>
      <c r="G23" s="35">
        <v>485.95</v>
      </c>
      <c r="H23" s="35"/>
      <c r="I23" s="91">
        <v>0</v>
      </c>
      <c r="J23" s="35">
        <v>0</v>
      </c>
      <c r="K23" s="35">
        <v>0</v>
      </c>
      <c r="L23" s="35">
        <v>0</v>
      </c>
      <c r="M23" s="35">
        <v>0</v>
      </c>
      <c r="N23" s="79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3"/>
      <c r="Z23" s="24">
        <f t="shared" si="5"/>
        <v>0</v>
      </c>
      <c r="AA23" s="97">
        <f t="shared" si="4"/>
        <v>2143.62</v>
      </c>
    </row>
    <row r="24" spans="1:27" ht="31.5" customHeight="1">
      <c r="A24" s="16" t="s">
        <v>39</v>
      </c>
      <c r="B24" s="34" t="s">
        <v>63</v>
      </c>
      <c r="C24" s="34"/>
      <c r="D24" s="35">
        <v>746.74</v>
      </c>
      <c r="E24" s="36">
        <v>2662.75</v>
      </c>
      <c r="F24" s="35">
        <v>3547.81</v>
      </c>
      <c r="G24" s="35">
        <v>3148.26</v>
      </c>
      <c r="H24" s="35">
        <v>2241.79</v>
      </c>
      <c r="I24" s="91">
        <v>2644.03</v>
      </c>
      <c r="J24" s="35">
        <v>2795.98</v>
      </c>
      <c r="K24" s="35">
        <v>2842.62</v>
      </c>
      <c r="L24" s="35">
        <v>2991.07</v>
      </c>
      <c r="M24" s="35">
        <v>2421.32</v>
      </c>
      <c r="N24" s="79">
        <v>177.82</v>
      </c>
      <c r="O24" s="20">
        <v>159.4</v>
      </c>
      <c r="P24" s="20">
        <v>198.18</v>
      </c>
      <c r="Q24" s="20">
        <v>154.93</v>
      </c>
      <c r="R24" s="20">
        <v>160.3</v>
      </c>
      <c r="S24" s="20">
        <v>161.8</v>
      </c>
      <c r="T24" s="20">
        <v>187.14</v>
      </c>
      <c r="U24" s="20">
        <v>233.22</v>
      </c>
      <c r="V24" s="20">
        <v>223.79</v>
      </c>
      <c r="W24" s="20">
        <v>260.11</v>
      </c>
      <c r="X24" s="20">
        <v>241.91</v>
      </c>
      <c r="Y24" s="23">
        <v>220.83</v>
      </c>
      <c r="Z24" s="24">
        <f t="shared" si="5"/>
        <v>2379.43</v>
      </c>
      <c r="AA24" s="97">
        <f t="shared" si="4"/>
        <v>28421.800000000003</v>
      </c>
    </row>
    <row r="25" spans="1:27" ht="21.75" customHeight="1">
      <c r="A25" s="16" t="s">
        <v>40</v>
      </c>
      <c r="B25" s="34" t="s">
        <v>64</v>
      </c>
      <c r="C25" s="34"/>
      <c r="D25" s="35">
        <v>1344.31</v>
      </c>
      <c r="E25" s="36">
        <v>1449.5</v>
      </c>
      <c r="F25" s="35">
        <v>434.95</v>
      </c>
      <c r="G25" s="35">
        <v>309.97</v>
      </c>
      <c r="H25" s="35">
        <v>674.37</v>
      </c>
      <c r="I25" s="91">
        <v>455.69</v>
      </c>
      <c r="J25" s="35">
        <v>397.76</v>
      </c>
      <c r="K25" s="35">
        <v>310.87</v>
      </c>
      <c r="L25" s="35">
        <v>301.83</v>
      </c>
      <c r="M25" s="35">
        <v>274.18</v>
      </c>
      <c r="N25" s="79">
        <v>10.21</v>
      </c>
      <c r="O25" s="20">
        <v>14.47</v>
      </c>
      <c r="P25" s="20">
        <v>13.86</v>
      </c>
      <c r="Q25" s="20">
        <v>13.85</v>
      </c>
      <c r="R25" s="20">
        <v>13.5</v>
      </c>
      <c r="S25" s="20">
        <v>11.8</v>
      </c>
      <c r="T25" s="20">
        <v>26.61</v>
      </c>
      <c r="U25" s="20">
        <v>13.81</v>
      </c>
      <c r="V25" s="20">
        <v>8.43</v>
      </c>
      <c r="W25" s="20">
        <v>25.47</v>
      </c>
      <c r="X25" s="20">
        <v>10.95</v>
      </c>
      <c r="Y25" s="23">
        <v>29.83</v>
      </c>
      <c r="Z25" s="24">
        <f t="shared" si="5"/>
        <v>192.78999999999996</v>
      </c>
      <c r="AA25" s="97">
        <f t="shared" si="4"/>
        <v>6146.22</v>
      </c>
    </row>
    <row r="26" spans="1:27" ht="33.75" customHeight="1">
      <c r="A26" s="16" t="s">
        <v>41</v>
      </c>
      <c r="B26" s="34" t="s">
        <v>65</v>
      </c>
      <c r="C26" s="34"/>
      <c r="D26" s="35">
        <v>2728.45</v>
      </c>
      <c r="E26" s="36">
        <v>2247.52</v>
      </c>
      <c r="F26" s="35">
        <v>2260.94</v>
      </c>
      <c r="G26" s="35">
        <v>3040.37</v>
      </c>
      <c r="H26" s="35">
        <v>2644.93</v>
      </c>
      <c r="I26" s="91">
        <v>3465.19</v>
      </c>
      <c r="J26" s="35">
        <v>2909.43</v>
      </c>
      <c r="K26" s="35">
        <v>2866.76</v>
      </c>
      <c r="L26" s="35">
        <v>3363.62</v>
      </c>
      <c r="M26" s="35">
        <v>3513.4</v>
      </c>
      <c r="N26" s="79">
        <f>7.26+95.68+156.02</f>
        <v>258.96000000000004</v>
      </c>
      <c r="O26" s="20">
        <f>7.54+112.39+167.38</f>
        <v>287.31</v>
      </c>
      <c r="P26" s="20">
        <f>7.19+101.39+171.59</f>
        <v>280.17</v>
      </c>
      <c r="Q26" s="20">
        <f>8.92+119.26+160.19</f>
        <v>288.37</v>
      </c>
      <c r="R26" s="20">
        <f>7.51+149.04+159</f>
        <v>315.54999999999995</v>
      </c>
      <c r="S26" s="20">
        <f>7.29+125.81+149.96</f>
        <v>283.06</v>
      </c>
      <c r="T26" s="20">
        <f>7.88+102.67+152.15</f>
        <v>262.7</v>
      </c>
      <c r="U26" s="20">
        <f>147.65+7.45+103.53</f>
        <v>258.63</v>
      </c>
      <c r="V26" s="20">
        <f>227.99+133.46</f>
        <v>361.45000000000005</v>
      </c>
      <c r="W26" s="20">
        <f>7.85+222.86+221.89</f>
        <v>452.6</v>
      </c>
      <c r="X26" s="20">
        <f>8.63+178.98+213.61</f>
        <v>401.22</v>
      </c>
      <c r="Y26" s="23">
        <f>9.74+248.67+195.99</f>
        <v>454.4</v>
      </c>
      <c r="Z26" s="24">
        <f t="shared" si="5"/>
        <v>3904.4199999999996</v>
      </c>
      <c r="AA26" s="97">
        <f t="shared" si="4"/>
        <v>32945.03</v>
      </c>
    </row>
    <row r="27" spans="1:27" ht="13.5" customHeight="1">
      <c r="A27" s="16" t="s">
        <v>54</v>
      </c>
      <c r="B27" s="34" t="s">
        <v>7</v>
      </c>
      <c r="C27" s="34"/>
      <c r="D27" s="35">
        <v>12085.14</v>
      </c>
      <c r="E27" s="36">
        <v>21331.48</v>
      </c>
      <c r="F27" s="35">
        <v>28329.61</v>
      </c>
      <c r="G27" s="35">
        <v>30038.28</v>
      </c>
      <c r="H27" s="35">
        <v>30733.15</v>
      </c>
      <c r="I27" s="91">
        <v>25645.35</v>
      </c>
      <c r="J27" s="35">
        <v>23246.98</v>
      </c>
      <c r="K27" s="35">
        <v>23310.97</v>
      </c>
      <c r="L27" s="35">
        <v>24044.28</v>
      </c>
      <c r="M27" s="35">
        <v>28811.19</v>
      </c>
      <c r="N27" s="79">
        <f>9499.27-5829.79-1000</f>
        <v>2669.4800000000005</v>
      </c>
      <c r="O27" s="20">
        <f>3040.09-714.12+300</f>
        <v>2625.9700000000003</v>
      </c>
      <c r="P27" s="20">
        <f>3139.88-729.14+200</f>
        <v>2610.7400000000002</v>
      </c>
      <c r="Q27" s="20">
        <f>3009.89-685.44+200</f>
        <v>2524.45</v>
      </c>
      <c r="R27" s="20">
        <f>3116.64-726.32+200</f>
        <v>2590.3199999999997</v>
      </c>
      <c r="S27" s="20">
        <f>3117.18-715.2</f>
        <v>2401.9799999999996</v>
      </c>
      <c r="T27" s="20">
        <f>3067.72-732.28+100</f>
        <v>2435.4399999999996</v>
      </c>
      <c r="U27" s="20">
        <f>7454.59-4643.3</f>
        <v>2811.29</v>
      </c>
      <c r="V27" s="20">
        <f>3797.94-898.79</f>
        <v>2899.15</v>
      </c>
      <c r="W27" s="20">
        <f>3956.52-979.8-0.21</f>
        <v>2976.51</v>
      </c>
      <c r="X27" s="20">
        <f>4166.59-887.51</f>
        <v>3279.08</v>
      </c>
      <c r="Y27" s="23">
        <f>4333.74-928.91</f>
        <v>3404.83</v>
      </c>
      <c r="Z27" s="24">
        <f t="shared" si="5"/>
        <v>33229.240000000005</v>
      </c>
      <c r="AA27" s="97">
        <f t="shared" si="4"/>
        <v>280805.6700000001</v>
      </c>
    </row>
    <row r="28" spans="1:27" ht="13.5" customHeight="1" thickBot="1">
      <c r="A28" s="16" t="s">
        <v>53</v>
      </c>
      <c r="B28" s="39" t="s">
        <v>3</v>
      </c>
      <c r="C28" s="39"/>
      <c r="D28" s="40">
        <v>1661.07</v>
      </c>
      <c r="E28" s="41">
        <v>3712.75</v>
      </c>
      <c r="F28" s="40">
        <v>2321.46</v>
      </c>
      <c r="G28" s="40">
        <v>1887.55</v>
      </c>
      <c r="H28" s="40">
        <v>1949.97</v>
      </c>
      <c r="I28" s="93">
        <v>2669.23</v>
      </c>
      <c r="J28" s="40">
        <v>1999.87</v>
      </c>
      <c r="K28" s="40">
        <v>2110.69</v>
      </c>
      <c r="L28" s="40">
        <v>3428.47</v>
      </c>
      <c r="M28" s="40">
        <v>2044.41</v>
      </c>
      <c r="N28" s="81">
        <f>2.02+160.05</f>
        <v>162.07000000000002</v>
      </c>
      <c r="O28" s="42">
        <f>20.02+160.04</f>
        <v>180.06</v>
      </c>
      <c r="P28" s="42">
        <f>2.02+160.04</f>
        <v>162.06</v>
      </c>
      <c r="Q28" s="42">
        <f>1.89+149.82</f>
        <v>151.70999999999998</v>
      </c>
      <c r="R28" s="42">
        <f>1.9+149.81</f>
        <v>151.71</v>
      </c>
      <c r="S28" s="42">
        <f>2.25+177.5</f>
        <v>179.75</v>
      </c>
      <c r="T28" s="42">
        <f>2.06+163.06</f>
        <v>165.12</v>
      </c>
      <c r="U28" s="42">
        <f>1.93+149.22</f>
        <v>151.15</v>
      </c>
      <c r="V28" s="42">
        <f>2.18+168.07</f>
        <v>170.25</v>
      </c>
      <c r="W28" s="42">
        <f>1.9+146.43</f>
        <v>148.33</v>
      </c>
      <c r="X28" s="42">
        <f>2.16+166.87</f>
        <v>169.03</v>
      </c>
      <c r="Y28" s="43">
        <f>2.03+156.65</f>
        <v>158.68</v>
      </c>
      <c r="Z28" s="49">
        <f t="shared" si="5"/>
        <v>1949.92</v>
      </c>
      <c r="AA28" s="98">
        <f t="shared" si="4"/>
        <v>25735.39</v>
      </c>
    </row>
    <row r="29" spans="1:27" ht="13.5" customHeight="1" thickBot="1">
      <c r="A29" s="16"/>
      <c r="B29" s="50" t="s">
        <v>61</v>
      </c>
      <c r="C29" s="46"/>
      <c r="D29" s="47"/>
      <c r="E29" s="48"/>
      <c r="F29" s="47"/>
      <c r="G29" s="47"/>
      <c r="H29" s="82">
        <f>H10*5%</f>
        <v>3076.428</v>
      </c>
      <c r="I29" s="94">
        <f>I10*5%</f>
        <v>3076.428</v>
      </c>
      <c r="J29" s="82">
        <f>J10*5%</f>
        <v>3076.428</v>
      </c>
      <c r="K29" s="82">
        <f>K10*5%</f>
        <v>3078.478</v>
      </c>
      <c r="L29" s="113">
        <f>L10*5%</f>
        <v>3082.578</v>
      </c>
      <c r="M29" s="113">
        <f>(M10+M11)*5%</f>
        <v>2912.871</v>
      </c>
      <c r="N29" s="86">
        <f>(N10+N11)*5%</f>
        <v>242.829</v>
      </c>
      <c r="O29" s="82">
        <f aca="true" t="shared" si="6" ref="O29:Y29">(O10+O11)*5%</f>
        <v>242.829</v>
      </c>
      <c r="P29" s="86">
        <f t="shared" si="6"/>
        <v>242.829</v>
      </c>
      <c r="Q29" s="82">
        <f t="shared" si="6"/>
        <v>242.829</v>
      </c>
      <c r="R29" s="86">
        <f t="shared" si="6"/>
        <v>242.829</v>
      </c>
      <c r="S29" s="82">
        <f t="shared" si="6"/>
        <v>242.829</v>
      </c>
      <c r="T29" s="86">
        <f t="shared" si="6"/>
        <v>242.89900000000003</v>
      </c>
      <c r="U29" s="82">
        <f t="shared" si="6"/>
        <v>242.89900000000003</v>
      </c>
      <c r="V29" s="86">
        <f t="shared" si="6"/>
        <v>242.89900000000003</v>
      </c>
      <c r="W29" s="82">
        <f t="shared" si="6"/>
        <v>242.89900000000003</v>
      </c>
      <c r="X29" s="86">
        <f t="shared" si="6"/>
        <v>242.89900000000003</v>
      </c>
      <c r="Y29" s="82">
        <f t="shared" si="6"/>
        <v>242.89900000000003</v>
      </c>
      <c r="Z29" s="82">
        <f t="shared" si="5"/>
        <v>2914.368</v>
      </c>
      <c r="AA29" s="75"/>
    </row>
    <row r="30" spans="1:27" ht="13.5" customHeight="1" thickBot="1">
      <c r="A30" s="16" t="s">
        <v>28</v>
      </c>
      <c r="B30" s="45" t="s">
        <v>50</v>
      </c>
      <c r="C30" s="46"/>
      <c r="D30" s="47"/>
      <c r="E30" s="48"/>
      <c r="F30" s="47"/>
      <c r="G30" s="47"/>
      <c r="H30" s="47"/>
      <c r="I30" s="57"/>
      <c r="J30" s="47"/>
      <c r="K30" s="82">
        <f>SUM(K10+K11-K13)-K29</f>
        <v>2999.9119999999994</v>
      </c>
      <c r="L30" s="82">
        <f>SUM(L10+L11-L13)-L29</f>
        <v>-4083.2580000000075</v>
      </c>
      <c r="M30" s="82">
        <f>SUM(M10+M11-M13)-M29</f>
        <v>9775.278999999995</v>
      </c>
      <c r="N30" s="87">
        <f>SUM(N10+N11+N12-N13)-N29</f>
        <v>-3485.5190000000007</v>
      </c>
      <c r="O30" s="82">
        <f aca="true" t="shared" si="7" ref="O30:Y30">SUM(O10+O11+O12-O13)-O29</f>
        <v>1673.6609999999998</v>
      </c>
      <c r="P30" s="87">
        <f t="shared" si="7"/>
        <v>1673.8709999999999</v>
      </c>
      <c r="Q30" s="82">
        <f t="shared" si="7"/>
        <v>1803.861</v>
      </c>
      <c r="R30" s="87">
        <f t="shared" si="7"/>
        <v>1697.1110000000006</v>
      </c>
      <c r="S30" s="82">
        <f t="shared" si="7"/>
        <v>1896.5710000000006</v>
      </c>
      <c r="T30" s="87">
        <f t="shared" si="7"/>
        <v>1847.361000000001</v>
      </c>
      <c r="U30" s="87">
        <f t="shared" si="7"/>
        <v>-2439.738999999999</v>
      </c>
      <c r="V30" s="82">
        <f t="shared" si="7"/>
        <v>1217.1410000000003</v>
      </c>
      <c r="W30" s="87">
        <f t="shared" si="7"/>
        <v>1058.771</v>
      </c>
      <c r="X30" s="82">
        <f t="shared" si="7"/>
        <v>848.4910000000003</v>
      </c>
      <c r="Y30" s="87">
        <f t="shared" si="7"/>
        <v>681.3410000000007</v>
      </c>
      <c r="Z30" s="85">
        <f t="shared" si="5"/>
        <v>8472.922000000002</v>
      </c>
      <c r="AA30" s="44"/>
    </row>
    <row r="31" spans="1:27" ht="28.5" customHeight="1" thickBot="1">
      <c r="A31" s="16" t="s">
        <v>29</v>
      </c>
      <c r="B31" s="106" t="s">
        <v>21</v>
      </c>
      <c r="C31" s="107">
        <v>1264.25</v>
      </c>
      <c r="D31" s="107">
        <v>-14518.76</v>
      </c>
      <c r="E31" s="108">
        <f>SUM(E10-E13)</f>
        <v>-1792.2499999999927</v>
      </c>
      <c r="F31" s="103">
        <f>SUM(F10-F13)</f>
        <v>2050.1199999999953</v>
      </c>
      <c r="G31" s="103">
        <f>SUM(G10-G13)</f>
        <v>-10186.610000000008</v>
      </c>
      <c r="H31" s="109">
        <f>SUM(H10-H13)-H29</f>
        <v>-5306.04800000001</v>
      </c>
      <c r="I31" s="110">
        <f>SUM(I10-I13)-I29</f>
        <v>2621.112000000001</v>
      </c>
      <c r="J31" s="109">
        <f>SUM(J10-J13)-J29</f>
        <v>474.362000000001</v>
      </c>
      <c r="K31" s="109">
        <f>SUM(K10+K11-K13)-K29</f>
        <v>2999.9119999999994</v>
      </c>
      <c r="L31" s="112">
        <f>SUM(L10+L11-L13)-L29</f>
        <v>-4083.2580000000075</v>
      </c>
      <c r="M31" s="112">
        <f>SUM(M10+M11-M13)-M29</f>
        <v>9775.278999999995</v>
      </c>
      <c r="N31" s="111">
        <f>SUM(N10+N11+N12-N13)-N29</f>
        <v>-3485.5190000000007</v>
      </c>
      <c r="O31" s="112">
        <f>SUM(O30+N31)</f>
        <v>-1811.8580000000009</v>
      </c>
      <c r="P31" s="111">
        <f aca="true" t="shared" si="8" ref="P31:Y31">SUM(P30+O31)</f>
        <v>-137.987000000001</v>
      </c>
      <c r="Q31" s="112">
        <f t="shared" si="8"/>
        <v>1665.8739999999991</v>
      </c>
      <c r="R31" s="111">
        <f t="shared" si="8"/>
        <v>3362.9849999999997</v>
      </c>
      <c r="S31" s="112">
        <f t="shared" si="8"/>
        <v>5259.5560000000005</v>
      </c>
      <c r="T31" s="111">
        <f t="shared" si="8"/>
        <v>7106.917000000001</v>
      </c>
      <c r="U31" s="112">
        <f t="shared" si="8"/>
        <v>4667.178000000002</v>
      </c>
      <c r="V31" s="111">
        <f t="shared" si="8"/>
        <v>5884.319000000002</v>
      </c>
      <c r="W31" s="112">
        <f t="shared" si="8"/>
        <v>6943.090000000002</v>
      </c>
      <c r="X31" s="111">
        <f t="shared" si="8"/>
        <v>7791.581000000002</v>
      </c>
      <c r="Y31" s="112">
        <f t="shared" si="8"/>
        <v>8472.922000000002</v>
      </c>
      <c r="Z31" s="73"/>
      <c r="AA31" s="74"/>
    </row>
    <row r="32" spans="1:27" ht="22.5" customHeight="1" thickBot="1">
      <c r="A32" s="16" t="s">
        <v>30</v>
      </c>
      <c r="B32" s="53" t="s">
        <v>22</v>
      </c>
      <c r="C32" s="50">
        <v>1264.25</v>
      </c>
      <c r="D32" s="54">
        <v>-13254.51</v>
      </c>
      <c r="E32" s="28">
        <f>SUM(E10-E13,D32)</f>
        <v>-15046.759999999993</v>
      </c>
      <c r="F32" s="28">
        <f>SUM(F10-F13,E32)</f>
        <v>-12996.639999999998</v>
      </c>
      <c r="G32" s="28">
        <f>SUM(G10-G13,F32)</f>
        <v>-23183.250000000007</v>
      </c>
      <c r="H32" s="82">
        <f>SUM(H31+G32)</f>
        <v>-28489.298000000017</v>
      </c>
      <c r="I32" s="94">
        <f>SUM(I31+H32)</f>
        <v>-25868.186000000016</v>
      </c>
      <c r="J32" s="82">
        <f>SUM(J31+I32)</f>
        <v>-25393.824000000015</v>
      </c>
      <c r="K32" s="82">
        <f>SUM(K31+J32)-0.01</f>
        <v>-22393.922000000013</v>
      </c>
      <c r="L32" s="82">
        <f>SUM(L31+K32)</f>
        <v>-26477.180000000022</v>
      </c>
      <c r="M32" s="82">
        <f>SUM(M31+L32)</f>
        <v>-16701.901000000027</v>
      </c>
      <c r="N32" s="82">
        <f>SUM(N31+M32)</f>
        <v>-20187.420000000027</v>
      </c>
      <c r="O32" s="82">
        <f>SUM(O30+N32)</f>
        <v>-18513.759000000027</v>
      </c>
      <c r="P32" s="82">
        <f>SUM(P30+O32)</f>
        <v>-16839.888000000028</v>
      </c>
      <c r="Q32" s="82">
        <f>SUM(Q30+P32)</f>
        <v>-15036.027000000027</v>
      </c>
      <c r="R32" s="82">
        <f aca="true" t="shared" si="9" ref="R32:Y32">SUM(R30+Q32)</f>
        <v>-13338.916000000027</v>
      </c>
      <c r="S32" s="82">
        <f t="shared" si="9"/>
        <v>-11442.345000000027</v>
      </c>
      <c r="T32" s="82">
        <f t="shared" si="9"/>
        <v>-9594.984000000026</v>
      </c>
      <c r="U32" s="82">
        <f t="shared" si="9"/>
        <v>-12034.723000000025</v>
      </c>
      <c r="V32" s="82">
        <f t="shared" si="9"/>
        <v>-10817.582000000026</v>
      </c>
      <c r="W32" s="82">
        <f t="shared" si="9"/>
        <v>-9758.811000000025</v>
      </c>
      <c r="X32" s="82">
        <f t="shared" si="9"/>
        <v>-8910.320000000025</v>
      </c>
      <c r="Y32" s="82">
        <f t="shared" si="9"/>
        <v>-8228.979000000025</v>
      </c>
      <c r="Z32" s="28"/>
      <c r="AA32" s="75"/>
    </row>
    <row r="33" spans="1:27" ht="0.75" customHeight="1" hidden="1" thickBot="1">
      <c r="A33" s="16" t="s">
        <v>31</v>
      </c>
      <c r="B33" s="53" t="s">
        <v>6</v>
      </c>
      <c r="C33" s="53"/>
      <c r="D33" s="54"/>
      <c r="E33" s="55"/>
      <c r="F33" s="76"/>
      <c r="G33" s="76"/>
      <c r="H33" s="76"/>
      <c r="I33" s="76"/>
      <c r="J33" s="76"/>
      <c r="K33" s="76"/>
      <c r="L33" s="76"/>
      <c r="M33" s="76"/>
      <c r="N33" s="26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51"/>
      <c r="Z33" s="28"/>
      <c r="AA33" s="52"/>
    </row>
    <row r="34" spans="1:27" ht="15" customHeight="1" hidden="1" thickBot="1">
      <c r="A34" s="56" t="s">
        <v>32</v>
      </c>
      <c r="B34" s="46" t="s">
        <v>48</v>
      </c>
      <c r="C34" s="46"/>
      <c r="D34" s="57"/>
      <c r="E34" s="58"/>
      <c r="F34" s="77"/>
      <c r="G34" s="77"/>
      <c r="H34" s="77"/>
      <c r="I34" s="77"/>
      <c r="J34" s="77"/>
      <c r="K34" s="77"/>
      <c r="L34" s="77"/>
      <c r="M34" s="77"/>
      <c r="N34" s="5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  <c r="AA34" s="52"/>
    </row>
    <row r="35" spans="1:27" ht="24.75" customHeight="1" hidden="1" thickBot="1">
      <c r="A35" s="63" t="s">
        <v>45</v>
      </c>
      <c r="B35" s="64" t="s">
        <v>46</v>
      </c>
      <c r="C35" s="46"/>
      <c r="D35" s="57"/>
      <c r="E35" s="58"/>
      <c r="F35" s="77"/>
      <c r="G35" s="77"/>
      <c r="H35" s="77"/>
      <c r="I35" s="77"/>
      <c r="J35" s="77"/>
      <c r="K35" s="77"/>
      <c r="L35" s="77"/>
      <c r="M35" s="77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5">
        <f>SUM(Y31-Y33)</f>
        <v>8472.922000000002</v>
      </c>
      <c r="Z35" s="62"/>
      <c r="AA35" s="52"/>
    </row>
    <row r="36" spans="1:27" ht="24" customHeight="1" hidden="1" thickBot="1">
      <c r="A36" s="66">
        <v>11</v>
      </c>
      <c r="B36" s="64" t="s">
        <v>23</v>
      </c>
      <c r="C36" s="64"/>
      <c r="D36" s="67"/>
      <c r="E36" s="68"/>
      <c r="F36" s="78"/>
      <c r="G36" s="78"/>
      <c r="H36" s="78"/>
      <c r="I36" s="78"/>
      <c r="J36" s="78"/>
      <c r="K36" s="78"/>
      <c r="L36" s="78"/>
      <c r="M36" s="7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>
        <f>SUM(Y32-Y33)</f>
        <v>-8228.979000000025</v>
      </c>
      <c r="Z36" s="71"/>
      <c r="AA36" s="72"/>
    </row>
    <row r="37" spans="2:27" ht="12" customHeight="1" hidden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27" ht="6.75" customHeight="1" hidden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ht="12.75" hidden="1"/>
    <row r="40" ht="1.5" customHeight="1" hidden="1"/>
    <row r="41" ht="12.75" hidden="1"/>
    <row r="42" ht="12.75" hidden="1"/>
    <row r="43" ht="12.75">
      <c r="B43" t="s">
        <v>67</v>
      </c>
    </row>
    <row r="47" ht="12.75" customHeight="1"/>
    <row r="48" ht="12.75" customHeight="1"/>
  </sheetData>
  <sheetProtection/>
  <mergeCells count="5">
    <mergeCell ref="B6:AA6"/>
    <mergeCell ref="B7:AA7"/>
    <mergeCell ref="B5:AA5"/>
    <mergeCell ref="B1:P1"/>
    <mergeCell ref="B3:AA3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2021-02-04T10:39:40Z</cp:lastPrinted>
  <dcterms:created xsi:type="dcterms:W3CDTF">2011-06-16T11:06:26Z</dcterms:created>
  <dcterms:modified xsi:type="dcterms:W3CDTF">2021-02-18T10:27:23Z</dcterms:modified>
  <cp:category/>
  <cp:version/>
  <cp:contentType/>
  <cp:contentStatus/>
</cp:coreProperties>
</file>