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9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<sst xmlns="http://schemas.openxmlformats.org/spreadsheetml/2006/main" count="69" uniqueCount="68">
  <si>
    <t>СПРАВКА</t>
  </si>
  <si>
    <t xml:space="preserve">Начислено  </t>
  </si>
  <si>
    <t>Расходы</t>
  </si>
  <si>
    <t>Услуги РИРЦ</t>
  </si>
  <si>
    <t>Вывоз ТБО</t>
  </si>
  <si>
    <t>Наименование</t>
  </si>
  <si>
    <t>Задолженность по неплательщикам</t>
  </si>
  <si>
    <t>Зар. Плата+налоги</t>
  </si>
  <si>
    <t xml:space="preserve">                               о поступлении   и   расходовании   денежных   средств  по  услуге   содержание   и   техническое обслуживание                                                                                                                  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</si>
  <si>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</si>
  <si>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</si>
  <si>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</si>
  <si>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</si>
  <si>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</si>
  <si>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</si>
  <si>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</si>
  <si>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</si>
  <si>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</si>
  <si>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октябоь</t>
  </si>
  <si>
    <t>декабрь</t>
  </si>
  <si>
    <t>ноябрь</t>
  </si>
  <si>
    <t>Фин.результат с начала года</t>
  </si>
  <si>
    <t>Фин.результат с начала деятельности</t>
  </si>
  <si>
    <t>Задолженность на 01.05.2011г</t>
  </si>
  <si>
    <t>Финансовый результат по дому с начала деятельности</t>
  </si>
  <si>
    <t>№</t>
  </si>
  <si>
    <t>1</t>
  </si>
  <si>
    <t>4</t>
  </si>
  <si>
    <t>4.1</t>
  </si>
  <si>
    <t>4.2</t>
  </si>
  <si>
    <t>4.4</t>
  </si>
  <si>
    <t>4.5</t>
  </si>
  <si>
    <t>4.8</t>
  </si>
  <si>
    <t>4.9</t>
  </si>
  <si>
    <t>4.10</t>
  </si>
  <si>
    <t>4.11</t>
  </si>
  <si>
    <t>5</t>
  </si>
  <si>
    <t>6</t>
  </si>
  <si>
    <t>7</t>
  </si>
  <si>
    <t>8</t>
  </si>
  <si>
    <t>9</t>
  </si>
  <si>
    <t>по жилому дому г. Унеча пер.Суворова д.1</t>
  </si>
  <si>
    <t>за 2010 г</t>
  </si>
  <si>
    <t>10</t>
  </si>
  <si>
    <t>Финансовый результат по дому с начала года</t>
  </si>
  <si>
    <t>Итого за 2011 г</t>
  </si>
  <si>
    <t>Результат за месяц</t>
  </si>
  <si>
    <t>Итого за 2012 г</t>
  </si>
  <si>
    <t>Благоустройство территории</t>
  </si>
  <si>
    <t>4.12</t>
  </si>
  <si>
    <t>Итого за 2013 г</t>
  </si>
  <si>
    <t>Итого за 2014 г</t>
  </si>
  <si>
    <t>рентабельность 5%</t>
  </si>
  <si>
    <t>Итого за 2015 г</t>
  </si>
  <si>
    <t xml:space="preserve">Материалы </t>
  </si>
  <si>
    <t>Транспортные(ГСМ,зап.части,амортизация,страхование ит.д.)</t>
  </si>
  <si>
    <t xml:space="preserve">Расходы на управление,аренда, связь </t>
  </si>
  <si>
    <t xml:space="preserve">УслугиМФЦ,агентские,охрана труда,отопление, хол.вода, эл.энегрия   </t>
  </si>
  <si>
    <t>Услуги сторонних организаций</t>
  </si>
  <si>
    <t>Исполнитель  вед. экономист /Викторова Л.С./</t>
  </si>
  <si>
    <t>Итого за 2016 г</t>
  </si>
  <si>
    <t>Итого за 2017 г</t>
  </si>
  <si>
    <t>Итого за 2018 г</t>
  </si>
  <si>
    <t>Итого за 2019 г</t>
  </si>
  <si>
    <t>Дом по пер.Суворова д.1 вступил в ООО "Наш дом"  с апреля 2010 года   тариф 9,32 руб, с января 2019 года тариф 8,7 руб.</t>
  </si>
  <si>
    <t>ООО "НД УНЕЧА"</t>
  </si>
  <si>
    <t>Итого за 2020 г</t>
  </si>
  <si>
    <t>Всего за 2010-2020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</si>
</sst>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0">
    <font>
      <sz val="10"/>
      <name val="Arial Cyr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sz val="10"/>
      <color indexed="10"/>
      <name val="Arial Cyr"/>
      <family val="0"/>
    </font>
    <font>
      <i/>
      <sz val="8"/>
      <name val="Arial Cyr"/>
      <family val="0"/>
    </font>
    <font>
      <sz val="9"/>
      <color indexed="10"/>
      <name val="Arial Cyr"/>
      <family val="0"/>
    </font>
    <font>
      <b/>
      <sz val="8"/>
      <name val="Arial Cyr"/>
      <family val="0"/>
    </font>
    <font>
      <b/>
      <sz val="9"/>
      <color indexed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0" applyNumberFormat="0" applyBorder="0" applyAlignment="0" applyProtection="0"/>
  </cellStyleXfs>
  <cellXfs count="99">
    <xf numFmtId="0" fontId="0" fillId="0" borderId="0" xfId="0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2" fillId="0" borderId="0" xfId="0" applyFont="1" applyBorder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19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21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22" xfId="0" applyFont="1" applyBorder="1" applyAlignment="1">
      <alignment/>
    </xf>
    <xf numFmtId="0" fontId="21" fillId="2" borderId="0" xfId="0" applyFont="1" applyFill="1" applyBorder="1" applyAlignment="1">
      <alignment wrapText="1"/>
    </xf>
    <xf numFmtId="0" fontId="2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20" fillId="2" borderId="16" xfId="0" applyFont="1" applyFill="1" applyBorder="1" applyAlignment="1">
      <alignment/>
    </xf>
    <xf numFmtId="0" fontId="20" fillId="2" borderId="23" xfId="0" applyFont="1" applyFill="1" applyBorder="1" applyAlignment="1">
      <alignment/>
    </xf>
    <xf numFmtId="49" fontId="0" fillId="0" borderId="0" xfId="0" applyNumberFormat="1" applyAlignment="1">
      <alignment horizontal="center"/>
    </xf>
    <xf numFmtId="0" fontId="23" fillId="0" borderId="24" xfId="0" applyFont="1" applyBorder="1" applyAlignment="1">
      <alignment horizontal="left" vertical="center" wrapText="1"/>
    </xf>
    <xf numFmtId="0" fontId="24" fillId="0" borderId="25" xfId="0" applyFont="1" applyBorder="1" applyAlignment="1">
      <alignment wrapText="1"/>
    </xf>
    <xf numFmtId="49" fontId="21" fillId="0" borderId="25" xfId="0" applyNumberFormat="1" applyFont="1" applyBorder="1" applyAlignment="1">
      <alignment wrapText="1"/>
    </xf>
    <xf numFmtId="0" fontId="21" fillId="0" borderId="26" xfId="0" applyFont="1" applyBorder="1" applyAlignment="1">
      <alignment wrapText="1"/>
    </xf>
    <xf numFmtId="0" fontId="21" fillId="0" borderId="24" xfId="0" applyFont="1" applyBorder="1" applyAlignment="1">
      <alignment wrapText="1"/>
    </xf>
    <xf numFmtId="0" fontId="21" fillId="0" borderId="27" xfId="0" applyFont="1" applyBorder="1" applyAlignment="1">
      <alignment wrapText="1"/>
    </xf>
    <xf numFmtId="0" fontId="21" fillId="2" borderId="27" xfId="0" applyFont="1" applyFill="1" applyBorder="1" applyAlignment="1">
      <alignment wrapText="1"/>
    </xf>
    <xf numFmtId="49" fontId="0" fillId="0" borderId="28" xfId="0" applyNumberFormat="1" applyBorder="1" applyAlignment="1">
      <alignment horizontal="center"/>
    </xf>
    <xf numFmtId="49" fontId="0" fillId="0" borderId="29" xfId="0" applyNumberFormat="1" applyBorder="1" applyAlignment="1">
      <alignment horizontal="center"/>
    </xf>
    <xf numFmtId="49" fontId="0" fillId="0" borderId="30" xfId="0" applyNumberFormat="1" applyBorder="1" applyAlignment="1">
      <alignment horizontal="center"/>
    </xf>
    <xf numFmtId="0" fontId="23" fillId="0" borderId="31" xfId="0" applyFont="1" applyBorder="1" applyAlignment="1">
      <alignment horizontal="left" vertical="center" wrapText="1"/>
    </xf>
    <xf numFmtId="0" fontId="21" fillId="0" borderId="29" xfId="0" applyFont="1" applyBorder="1" applyAlignment="1">
      <alignment wrapText="1"/>
    </xf>
    <xf numFmtId="0" fontId="21" fillId="0" borderId="31" xfId="0" applyFont="1" applyBorder="1" applyAlignment="1">
      <alignment wrapText="1"/>
    </xf>
    <xf numFmtId="0" fontId="21" fillId="0" borderId="32" xfId="0" applyFont="1" applyBorder="1" applyAlignment="1">
      <alignment wrapText="1"/>
    </xf>
    <xf numFmtId="0" fontId="21" fillId="2" borderId="32" xfId="0" applyFont="1" applyFill="1" applyBorder="1" applyAlignment="1">
      <alignment wrapText="1"/>
    </xf>
    <xf numFmtId="2" fontId="21" fillId="0" borderId="33" xfId="0" applyNumberFormat="1" applyFont="1" applyBorder="1" applyAlignment="1">
      <alignment horizontal="right" wrapText="1"/>
    </xf>
    <xf numFmtId="2" fontId="21" fillId="0" borderId="12" xfId="0" applyNumberFormat="1" applyFont="1" applyBorder="1" applyAlignment="1">
      <alignment horizontal="right"/>
    </xf>
    <xf numFmtId="2" fontId="21" fillId="0" borderId="29" xfId="0" applyNumberFormat="1" applyFont="1" applyBorder="1" applyAlignment="1">
      <alignment horizontal="right" wrapText="1"/>
    </xf>
    <xf numFmtId="2" fontId="21" fillId="0" borderId="14" xfId="0" applyNumberFormat="1" applyFont="1" applyBorder="1" applyAlignment="1">
      <alignment horizontal="right"/>
    </xf>
    <xf numFmtId="0" fontId="22" fillId="0" borderId="0" xfId="0" applyFont="1" applyBorder="1" applyAlignment="1">
      <alignment horizontal="left" wrapText="1"/>
    </xf>
    <xf numFmtId="0" fontId="23" fillId="0" borderId="24" xfId="0" applyFont="1" applyBorder="1" applyAlignment="1">
      <alignment horizontal="center" vertical="center" wrapText="1"/>
    </xf>
    <xf numFmtId="0" fontId="25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34" xfId="0" applyBorder="1" applyAlignment="1">
      <alignment/>
    </xf>
    <xf numFmtId="0" fontId="0" fillId="2" borderId="24" xfId="0" applyFill="1" applyBorder="1" applyAlignment="1">
      <alignment/>
    </xf>
    <xf numFmtId="0" fontId="19" fillId="0" borderId="31" xfId="0" applyFont="1" applyBorder="1" applyAlignment="1">
      <alignment horizontal="center" vertical="center" wrapText="1"/>
    </xf>
    <xf numFmtId="0" fontId="21" fillId="0" borderId="33" xfId="0" applyFont="1" applyBorder="1" applyAlignment="1">
      <alignment/>
    </xf>
    <xf numFmtId="0" fontId="21" fillId="0" borderId="31" xfId="0" applyFont="1" applyBorder="1" applyAlignment="1">
      <alignment/>
    </xf>
    <xf numFmtId="0" fontId="21" fillId="0" borderId="35" xfId="0" applyFont="1" applyBorder="1" applyAlignment="1">
      <alignment/>
    </xf>
    <xf numFmtId="0" fontId="21" fillId="0" borderId="32" xfId="0" applyFont="1" applyBorder="1" applyAlignment="1">
      <alignment/>
    </xf>
    <xf numFmtId="0" fontId="20" fillId="2" borderId="32" xfId="0" applyFont="1" applyFill="1" applyBorder="1" applyAlignment="1">
      <alignment/>
    </xf>
    <xf numFmtId="49" fontId="25" fillId="0" borderId="34" xfId="0" applyNumberFormat="1" applyFont="1" applyBorder="1" applyAlignment="1">
      <alignment horizontal="right"/>
    </xf>
    <xf numFmtId="0" fontId="21" fillId="0" borderId="34" xfId="0" applyFont="1" applyBorder="1" applyAlignment="1">
      <alignment wrapText="1"/>
    </xf>
    <xf numFmtId="0" fontId="21" fillId="0" borderId="23" xfId="0" applyFont="1" applyBorder="1" applyAlignment="1">
      <alignment wrapText="1"/>
    </xf>
    <xf numFmtId="0" fontId="21" fillId="0" borderId="21" xfId="0" applyFont="1" applyBorder="1" applyAlignment="1">
      <alignment wrapText="1"/>
    </xf>
    <xf numFmtId="0" fontId="21" fillId="2" borderId="23" xfId="0" applyFont="1" applyFill="1" applyBorder="1" applyAlignment="1">
      <alignment wrapText="1"/>
    </xf>
    <xf numFmtId="2" fontId="21" fillId="0" borderId="36" xfId="0" applyNumberFormat="1" applyFont="1" applyBorder="1" applyAlignment="1">
      <alignment horizontal="right" wrapText="1"/>
    </xf>
    <xf numFmtId="2" fontId="21" fillId="0" borderId="37" xfId="0" applyNumberFormat="1" applyFont="1" applyBorder="1" applyAlignment="1">
      <alignment horizontal="right" wrapText="1"/>
    </xf>
    <xf numFmtId="0" fontId="21" fillId="0" borderId="37" xfId="0" applyFont="1" applyBorder="1" applyAlignment="1">
      <alignment wrapText="1"/>
    </xf>
    <xf numFmtId="0" fontId="21" fillId="0" borderId="38" xfId="0" applyFont="1" applyBorder="1" applyAlignment="1">
      <alignment wrapText="1"/>
    </xf>
    <xf numFmtId="0" fontId="26" fillId="0" borderId="33" xfId="0" applyFont="1" applyBorder="1" applyAlignment="1">
      <alignment wrapText="1"/>
    </xf>
    <xf numFmtId="0" fontId="26" fillId="0" borderId="39" xfId="0" applyFont="1" applyBorder="1" applyAlignment="1">
      <alignment wrapText="1"/>
    </xf>
    <xf numFmtId="0" fontId="26" fillId="0" borderId="28" xfId="0" applyFont="1" applyBorder="1" applyAlignment="1">
      <alignment wrapText="1"/>
    </xf>
    <xf numFmtId="2" fontId="21" fillId="0" borderId="31" xfId="0" applyNumberFormat="1" applyFont="1" applyBorder="1" applyAlignment="1">
      <alignment/>
    </xf>
    <xf numFmtId="2" fontId="21" fillId="0" borderId="11" xfId="0" applyNumberFormat="1" applyFont="1" applyBorder="1" applyAlignment="1">
      <alignment/>
    </xf>
    <xf numFmtId="2" fontId="21" fillId="0" borderId="35" xfId="0" applyNumberFormat="1" applyFont="1" applyBorder="1" applyAlignment="1">
      <alignment/>
    </xf>
    <xf numFmtId="2" fontId="21" fillId="0" borderId="24" xfId="0" applyNumberFormat="1" applyFont="1" applyBorder="1" applyAlignment="1">
      <alignment/>
    </xf>
    <xf numFmtId="0" fontId="27" fillId="0" borderId="28" xfId="0" applyFont="1" applyBorder="1" applyAlignment="1">
      <alignment/>
    </xf>
    <xf numFmtId="49" fontId="27" fillId="0" borderId="34" xfId="0" applyNumberFormat="1" applyFont="1" applyBorder="1" applyAlignment="1">
      <alignment horizontal="right"/>
    </xf>
    <xf numFmtId="49" fontId="27" fillId="0" borderId="24" xfId="0" applyNumberFormat="1" applyFont="1" applyBorder="1" applyAlignment="1">
      <alignment horizontal="right"/>
    </xf>
    <xf numFmtId="49" fontId="22" fillId="0" borderId="29" xfId="0" applyNumberFormat="1" applyFont="1" applyBorder="1" applyAlignment="1">
      <alignment horizontal="center"/>
    </xf>
    <xf numFmtId="0" fontId="19" fillId="0" borderId="24" xfId="0" applyFont="1" applyBorder="1" applyAlignment="1">
      <alignment wrapText="1"/>
    </xf>
    <xf numFmtId="0" fontId="28" fillId="0" borderId="31" xfId="0" applyFont="1" applyBorder="1" applyAlignment="1">
      <alignment/>
    </xf>
    <xf numFmtId="0" fontId="28" fillId="0" borderId="21" xfId="0" applyFont="1" applyBorder="1" applyAlignment="1">
      <alignment/>
    </xf>
    <xf numFmtId="0" fontId="28" fillId="0" borderId="11" xfId="0" applyFont="1" applyBorder="1" applyAlignment="1">
      <alignment/>
    </xf>
    <xf numFmtId="0" fontId="29" fillId="0" borderId="24" xfId="0" applyFont="1" applyBorder="1" applyAlignment="1">
      <alignment/>
    </xf>
    <xf numFmtId="0" fontId="22" fillId="0" borderId="0" xfId="0" applyFont="1" applyAlignment="1">
      <alignment/>
    </xf>
    <xf numFmtId="0" fontId="28" fillId="0" borderId="40" xfId="0" applyFont="1" applyBorder="1" applyAlignment="1">
      <alignment wrapText="1"/>
    </xf>
    <xf numFmtId="0" fontId="28" fillId="0" borderId="31" xfId="0" applyFont="1" applyBorder="1" applyAlignment="1">
      <alignment wrapText="1"/>
    </xf>
    <xf numFmtId="2" fontId="28" fillId="0" borderId="31" xfId="0" applyNumberFormat="1" applyFont="1" applyBorder="1" applyAlignment="1">
      <alignment/>
    </xf>
    <xf numFmtId="2" fontId="28" fillId="0" borderId="11" xfId="0" applyNumberFormat="1" applyFont="1" applyBorder="1" applyAlignment="1">
      <alignment/>
    </xf>
    <xf numFmtId="2" fontId="28" fillId="0" borderId="10" xfId="0" applyNumberFormat="1" applyFont="1" applyBorder="1" applyAlignment="1">
      <alignment/>
    </xf>
    <xf numFmtId="0" fontId="22" fillId="0" borderId="24" xfId="0" applyFont="1" applyBorder="1" applyAlignment="1">
      <alignment/>
    </xf>
    <xf numFmtId="0" fontId="21" fillId="0" borderId="41" xfId="0" applyFont="1" applyBorder="1" applyAlignment="1">
      <alignment wrapText="1"/>
    </xf>
    <xf numFmtId="0" fontId="21" fillId="0" borderId="42" xfId="0" applyFont="1" applyBorder="1" applyAlignment="1">
      <alignment wrapText="1"/>
    </xf>
    <xf numFmtId="0" fontId="21" fillId="0" borderId="43" xfId="0" applyFont="1" applyBorder="1" applyAlignment="1">
      <alignment/>
    </xf>
    <xf numFmtId="0" fontId="21" fillId="0" borderId="44" xfId="0" applyFont="1" applyBorder="1" applyAlignment="1">
      <alignment/>
    </xf>
    <xf numFmtId="0" fontId="21" fillId="0" borderId="45" xfId="0" applyFont="1" applyBorder="1" applyAlignment="1">
      <alignment/>
    </xf>
    <xf numFmtId="0" fontId="21" fillId="0" borderId="46" xfId="0" applyFont="1" applyBorder="1" applyAlignment="1">
      <alignment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8"/>
  <sheetViews>
    <sheetView tabSelected="1" zoomScalePageLayoutView="0" workbookViewId="0" topLeftCell="A4">
      <selection activeCell="Z8" sqref="Z8"/>
    </sheetView>
  </sheetViews>
  <sheetFormatPr defaultColWidth="9.00390625" defaultRowHeight="12.75"/>
  <cols>
    <col min="1" max="1" width="3.625" style="26" customWidth="1"/>
    <col min="2" max="2" width="17.00390625" style="0" customWidth="1"/>
    <col min="3" max="4" width="7.125" style="0" hidden="1" customWidth="1"/>
    <col min="5" max="5" width="8.75390625" style="0" hidden="1" customWidth="1"/>
    <col min="6" max="6" width="9.25390625" style="0" hidden="1" customWidth="1"/>
    <col min="7" max="7" width="8.875" style="0" hidden="1" customWidth="1"/>
    <col min="8" max="8" width="8.25390625" style="0" hidden="1" customWidth="1"/>
    <col min="9" max="9" width="8.625" style="0" hidden="1" customWidth="1"/>
    <col min="10" max="10" width="8.25390625" style="0" hidden="1" customWidth="1"/>
    <col min="11" max="11" width="0.12890625" style="0" hidden="1" customWidth="1"/>
    <col min="12" max="12" width="8.875" style="0" hidden="1" customWidth="1"/>
    <col min="13" max="14" width="8.75390625" style="0" customWidth="1"/>
    <col min="15" max="15" width="9.375" style="0" customWidth="1"/>
    <col min="16" max="16" width="8.875" style="0" customWidth="1"/>
    <col min="17" max="17" width="8.25390625" style="0" customWidth="1"/>
    <col min="18" max="18" width="8.00390625" style="0" customWidth="1"/>
    <col min="19" max="19" width="7.875" style="0" customWidth="1"/>
    <col min="20" max="20" width="8.625" style="0" customWidth="1"/>
    <col min="22" max="22" width="9.25390625" style="0" customWidth="1"/>
    <col min="23" max="23" width="8.25390625" style="0" customWidth="1"/>
    <col min="24" max="24" width="8.625" style="0" customWidth="1"/>
    <col min="26" max="26" width="9.375" style="0" customWidth="1"/>
  </cols>
  <sheetData>
    <row r="1" spans="2:31" ht="12.75" customHeight="1">
      <c r="B1" s="98" t="s">
        <v>65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2:31" ht="12.75" customHeight="1">
      <c r="B2" s="98" t="s">
        <v>64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46"/>
      <c r="Z2" s="4"/>
      <c r="AA2" s="4"/>
      <c r="AB2" s="4"/>
      <c r="AC2" s="4"/>
      <c r="AD2" s="4"/>
      <c r="AE2" s="4"/>
    </row>
    <row r="3" spans="2:31" ht="12.75" customHeight="1">
      <c r="B3" s="97" t="s">
        <v>0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3"/>
      <c r="AB3" s="3"/>
      <c r="AC3" s="3"/>
      <c r="AD3" s="3"/>
      <c r="AE3" s="3"/>
    </row>
    <row r="4" spans="2:31" ht="15" customHeight="1">
      <c r="B4" s="96" t="s">
        <v>8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2"/>
      <c r="AB4" s="2"/>
      <c r="AC4" s="2"/>
      <c r="AD4" s="2"/>
      <c r="AE4" s="2"/>
    </row>
    <row r="5" spans="2:31" ht="16.5" customHeight="1">
      <c r="B5" s="96" t="s">
        <v>41</v>
      </c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2"/>
      <c r="AB5" s="2"/>
      <c r="AC5" s="2"/>
      <c r="AD5" s="2"/>
      <c r="AE5" s="2"/>
    </row>
    <row r="6" spans="2:31" ht="16.5" customHeight="1" thickBo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2"/>
      <c r="AB6" s="2"/>
      <c r="AC6" s="2"/>
      <c r="AD6" s="2"/>
      <c r="AE6" s="2"/>
    </row>
    <row r="7" spans="1:31" ht="41.25" customHeight="1" thickBot="1">
      <c r="A7" s="34" t="s">
        <v>25</v>
      </c>
      <c r="B7" s="27" t="s">
        <v>5</v>
      </c>
      <c r="C7" s="37" t="s">
        <v>42</v>
      </c>
      <c r="D7" s="52" t="s">
        <v>45</v>
      </c>
      <c r="E7" s="52" t="s">
        <v>47</v>
      </c>
      <c r="F7" s="52" t="s">
        <v>50</v>
      </c>
      <c r="G7" s="52" t="s">
        <v>51</v>
      </c>
      <c r="H7" s="52" t="s">
        <v>53</v>
      </c>
      <c r="I7" s="52" t="s">
        <v>60</v>
      </c>
      <c r="J7" s="52" t="s">
        <v>61</v>
      </c>
      <c r="K7" s="52" t="s">
        <v>62</v>
      </c>
      <c r="L7" s="52" t="s">
        <v>63</v>
      </c>
      <c r="M7" s="6" t="s">
        <v>9</v>
      </c>
      <c r="N7" s="5" t="s">
        <v>10</v>
      </c>
      <c r="O7" s="5" t="s">
        <v>11</v>
      </c>
      <c r="P7" s="5" t="s">
        <v>12</v>
      </c>
      <c r="Q7" s="5" t="s">
        <v>13</v>
      </c>
      <c r="R7" s="5" t="s">
        <v>14</v>
      </c>
      <c r="S7" s="5" t="s">
        <v>15</v>
      </c>
      <c r="T7" s="5" t="s">
        <v>16</v>
      </c>
      <c r="U7" s="5" t="s">
        <v>17</v>
      </c>
      <c r="V7" s="5" t="s">
        <v>18</v>
      </c>
      <c r="W7" s="5" t="s">
        <v>20</v>
      </c>
      <c r="X7" s="15" t="s">
        <v>19</v>
      </c>
      <c r="Y7" s="52" t="s">
        <v>66</v>
      </c>
      <c r="Z7" s="47" t="s">
        <v>67</v>
      </c>
      <c r="AA7" s="1"/>
      <c r="AB7" s="1"/>
      <c r="AC7" s="1"/>
      <c r="AD7" s="1"/>
      <c r="AE7" s="1"/>
    </row>
    <row r="8" spans="1:26" ht="13.5" thickBot="1">
      <c r="A8" s="35" t="s">
        <v>26</v>
      </c>
      <c r="B8" s="28" t="s">
        <v>1</v>
      </c>
      <c r="C8" s="67">
        <v>17681.49</v>
      </c>
      <c r="D8" s="68">
        <v>25506.76</v>
      </c>
      <c r="E8" s="69">
        <v>26472.48</v>
      </c>
      <c r="F8" s="69">
        <v>26994.4</v>
      </c>
      <c r="G8" s="67">
        <v>27285.18</v>
      </c>
      <c r="H8" s="69">
        <v>27434.28</v>
      </c>
      <c r="I8" s="69">
        <v>27434.28</v>
      </c>
      <c r="J8" s="67">
        <v>28060.6</v>
      </c>
      <c r="K8" s="69">
        <v>28373.76</v>
      </c>
      <c r="L8" s="69">
        <v>26486.28</v>
      </c>
      <c r="M8" s="7">
        <v>2207.19</v>
      </c>
      <c r="N8" s="7">
        <v>2207.19</v>
      </c>
      <c r="O8" s="7">
        <v>2207.19</v>
      </c>
      <c r="P8" s="7">
        <v>2207.19</v>
      </c>
      <c r="Q8" s="7">
        <v>2207.19</v>
      </c>
      <c r="R8" s="7">
        <v>2207.19</v>
      </c>
      <c r="S8" s="7">
        <v>2207.19</v>
      </c>
      <c r="T8" s="7">
        <v>2207.19</v>
      </c>
      <c r="U8" s="7">
        <v>2207.19</v>
      </c>
      <c r="V8" s="7">
        <v>2207.19</v>
      </c>
      <c r="W8" s="7">
        <v>2207.19</v>
      </c>
      <c r="X8" s="7">
        <v>2207.19</v>
      </c>
      <c r="Y8" s="53">
        <f>SUM(M8:X8)</f>
        <v>26486.279999999995</v>
      </c>
      <c r="Z8" s="74">
        <f>SUM(C8:X8)</f>
        <v>288215.79000000004</v>
      </c>
    </row>
    <row r="9" spans="1:26" s="83" customFormat="1" ht="13.5" thickBot="1">
      <c r="A9" s="77" t="s">
        <v>27</v>
      </c>
      <c r="B9" s="78" t="s">
        <v>2</v>
      </c>
      <c r="C9" s="79">
        <f aca="true" t="shared" si="0" ref="C9:M9">SUM(C10:C18)</f>
        <v>16186.26</v>
      </c>
      <c r="D9" s="80">
        <f t="shared" si="0"/>
        <v>24600.01</v>
      </c>
      <c r="E9" s="79">
        <f t="shared" si="0"/>
        <v>26112.699999999997</v>
      </c>
      <c r="F9" s="79">
        <f t="shared" si="0"/>
        <v>27638.379999999997</v>
      </c>
      <c r="G9" s="79">
        <f t="shared" si="0"/>
        <v>27896.690000000002</v>
      </c>
      <c r="H9" s="79">
        <f>SUM(H10:H18)</f>
        <v>20952.78</v>
      </c>
      <c r="I9" s="79">
        <f>SUM(I10:I18)</f>
        <v>28440.82</v>
      </c>
      <c r="J9" s="79">
        <f>SUM(J10:J18)</f>
        <v>28708.64</v>
      </c>
      <c r="K9" s="79">
        <f t="shared" si="0"/>
        <v>27301.249999999996</v>
      </c>
      <c r="L9" s="79">
        <f t="shared" si="0"/>
        <v>22254.579999999998</v>
      </c>
      <c r="M9" s="81">
        <f t="shared" si="0"/>
        <v>1977.85</v>
      </c>
      <c r="N9" s="81">
        <f aca="true" t="shared" si="1" ref="N9:X9">SUM(N10:N18)</f>
        <v>1842.28</v>
      </c>
      <c r="O9" s="81">
        <f t="shared" si="1"/>
        <v>1888.53</v>
      </c>
      <c r="P9" s="81">
        <f t="shared" si="1"/>
        <v>1833.78</v>
      </c>
      <c r="Q9" s="81">
        <f t="shared" si="1"/>
        <v>1884.95</v>
      </c>
      <c r="R9" s="81">
        <f t="shared" si="1"/>
        <v>1871.0299999999997</v>
      </c>
      <c r="S9" s="81">
        <f t="shared" si="1"/>
        <v>2086.56</v>
      </c>
      <c r="T9" s="81">
        <f t="shared" si="1"/>
        <v>2089.43</v>
      </c>
      <c r="U9" s="81">
        <f t="shared" si="1"/>
        <v>2197.15</v>
      </c>
      <c r="V9" s="81">
        <f t="shared" si="1"/>
        <v>2273.0300000000007</v>
      </c>
      <c r="W9" s="81">
        <f t="shared" si="1"/>
        <v>2355.1800000000003</v>
      </c>
      <c r="X9" s="80">
        <f t="shared" si="1"/>
        <v>2437</v>
      </c>
      <c r="Y9" s="79">
        <f>SUM(M9:X9)</f>
        <v>24736.769999999997</v>
      </c>
      <c r="Z9" s="82">
        <f>SUM(C9:X9)</f>
        <v>274828.88000000006</v>
      </c>
    </row>
    <row r="10" spans="1:26" ht="13.5" thickBot="1">
      <c r="A10" s="35" t="s">
        <v>28</v>
      </c>
      <c r="B10" s="29" t="s">
        <v>4</v>
      </c>
      <c r="C10" s="42">
        <v>3985.32</v>
      </c>
      <c r="D10" s="63">
        <v>7577.21</v>
      </c>
      <c r="E10" s="42">
        <v>8463.28</v>
      </c>
      <c r="F10" s="42">
        <v>10009.28</v>
      </c>
      <c r="G10" s="42">
        <v>10655.27</v>
      </c>
      <c r="H10" s="42">
        <v>9829.4</v>
      </c>
      <c r="I10" s="42">
        <v>10331.14</v>
      </c>
      <c r="J10" s="42">
        <v>11393.57</v>
      </c>
      <c r="K10" s="42">
        <v>11538.13</v>
      </c>
      <c r="L10" s="42">
        <v>118.04</v>
      </c>
      <c r="M10" s="43"/>
      <c r="N10" s="8">
        <v>7.7</v>
      </c>
      <c r="O10" s="8">
        <v>8.95</v>
      </c>
      <c r="P10" s="8">
        <v>10.04</v>
      </c>
      <c r="Q10" s="8">
        <v>16.07</v>
      </c>
      <c r="R10" s="8">
        <v>11.83</v>
      </c>
      <c r="S10" s="8">
        <v>18.76</v>
      </c>
      <c r="T10" s="8">
        <v>19.42</v>
      </c>
      <c r="U10" s="8">
        <v>46.1</v>
      </c>
      <c r="V10" s="8">
        <v>19.77</v>
      </c>
      <c r="W10" s="8">
        <v>1.47</v>
      </c>
      <c r="X10" s="16">
        <v>1.96</v>
      </c>
      <c r="Y10" s="55">
        <f aca="true" t="shared" si="2" ref="Y10:Y20">SUM(M10:X10)</f>
        <v>162.07000000000002</v>
      </c>
      <c r="Z10" s="75">
        <f>SUM(C10:X10)</f>
        <v>84062.71</v>
      </c>
    </row>
    <row r="11" spans="1:26" ht="22.5" customHeight="1" thickBot="1">
      <c r="A11" s="35" t="s">
        <v>29</v>
      </c>
      <c r="B11" s="30" t="s">
        <v>58</v>
      </c>
      <c r="C11" s="44">
        <v>3760.69</v>
      </c>
      <c r="D11" s="64">
        <v>2382.8</v>
      </c>
      <c r="E11" s="44">
        <v>7.46</v>
      </c>
      <c r="F11" s="44">
        <v>7.97</v>
      </c>
      <c r="G11" s="44"/>
      <c r="H11" s="44">
        <v>0</v>
      </c>
      <c r="I11" s="44">
        <v>25.75</v>
      </c>
      <c r="J11" s="44">
        <v>0</v>
      </c>
      <c r="K11" s="44">
        <v>0</v>
      </c>
      <c r="L11" s="44">
        <v>0</v>
      </c>
      <c r="M11" s="45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7"/>
      <c r="Y11" s="54">
        <f t="shared" si="2"/>
        <v>0</v>
      </c>
      <c r="Z11" s="76">
        <f aca="true" t="shared" si="3" ref="Z11:Z18">SUM(C11:X11)</f>
        <v>6184.67</v>
      </c>
    </row>
    <row r="12" spans="1:26" ht="14.25" customHeight="1" thickBot="1">
      <c r="A12" s="35" t="s">
        <v>30</v>
      </c>
      <c r="B12" s="30" t="s">
        <v>54</v>
      </c>
      <c r="C12" s="44">
        <v>1666.04</v>
      </c>
      <c r="D12" s="64">
        <v>602.81</v>
      </c>
      <c r="E12" s="44">
        <v>1417.69</v>
      </c>
      <c r="F12" s="44">
        <v>666.07</v>
      </c>
      <c r="G12" s="44">
        <v>80.81</v>
      </c>
      <c r="H12" s="44">
        <v>152.23</v>
      </c>
      <c r="I12" s="44">
        <v>899.26</v>
      </c>
      <c r="J12" s="44">
        <v>95</v>
      </c>
      <c r="K12" s="44">
        <v>0</v>
      </c>
      <c r="L12" s="44">
        <v>585</v>
      </c>
      <c r="M12" s="45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7"/>
      <c r="Y12" s="54">
        <f t="shared" si="2"/>
        <v>0</v>
      </c>
      <c r="Z12" s="76">
        <f t="shared" si="3"/>
        <v>6164.91</v>
      </c>
    </row>
    <row r="13" spans="1:26" ht="21.75" customHeight="1" thickBot="1">
      <c r="A13" s="35" t="s">
        <v>31</v>
      </c>
      <c r="B13" s="30" t="s">
        <v>48</v>
      </c>
      <c r="C13" s="44">
        <v>116.32</v>
      </c>
      <c r="D13" s="64">
        <v>0</v>
      </c>
      <c r="E13" s="44">
        <v>256</v>
      </c>
      <c r="F13" s="44">
        <v>0</v>
      </c>
      <c r="G13" s="44">
        <v>8.24</v>
      </c>
      <c r="H13" s="44">
        <v>0</v>
      </c>
      <c r="I13" s="44">
        <v>51</v>
      </c>
      <c r="J13" s="44">
        <v>0</v>
      </c>
      <c r="K13" s="44">
        <v>0</v>
      </c>
      <c r="L13" s="44">
        <v>56.16</v>
      </c>
      <c r="M13" s="45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7"/>
      <c r="Y13" s="54">
        <f t="shared" si="2"/>
        <v>0</v>
      </c>
      <c r="Z13" s="76">
        <f t="shared" si="3"/>
        <v>487.72</v>
      </c>
    </row>
    <row r="14" spans="1:26" ht="32.25" customHeight="1" thickBot="1">
      <c r="A14" s="35" t="s">
        <v>32</v>
      </c>
      <c r="B14" s="30" t="s">
        <v>55</v>
      </c>
      <c r="C14" s="38">
        <v>322.36</v>
      </c>
      <c r="D14" s="65">
        <v>1149.3</v>
      </c>
      <c r="E14" s="38">
        <v>1448.59</v>
      </c>
      <c r="F14" s="38">
        <v>1305.64</v>
      </c>
      <c r="G14" s="38">
        <v>994.45</v>
      </c>
      <c r="H14" s="38">
        <v>1178.91</v>
      </c>
      <c r="I14" s="38">
        <v>1246.66</v>
      </c>
      <c r="J14" s="38">
        <v>1295.59</v>
      </c>
      <c r="K14" s="38">
        <v>1376.58</v>
      </c>
      <c r="L14" s="38">
        <v>1114.34</v>
      </c>
      <c r="M14" s="9">
        <v>81.84</v>
      </c>
      <c r="N14" s="10">
        <v>73.36</v>
      </c>
      <c r="O14" s="10">
        <v>91.21</v>
      </c>
      <c r="P14" s="10">
        <v>71.3</v>
      </c>
      <c r="Q14" s="10">
        <v>73.78</v>
      </c>
      <c r="R14" s="10">
        <v>74.47</v>
      </c>
      <c r="S14" s="10">
        <v>86.13</v>
      </c>
      <c r="T14" s="10">
        <v>107.33</v>
      </c>
      <c r="U14" s="10">
        <v>102.99</v>
      </c>
      <c r="V14" s="10">
        <v>119.71</v>
      </c>
      <c r="W14" s="10">
        <v>111.34</v>
      </c>
      <c r="X14" s="17">
        <v>101.63</v>
      </c>
      <c r="Y14" s="55">
        <f t="shared" si="2"/>
        <v>1095.0900000000001</v>
      </c>
      <c r="Z14" s="75">
        <f t="shared" si="3"/>
        <v>12527.509999999997</v>
      </c>
    </row>
    <row r="15" spans="1:26" ht="36" customHeight="1" thickBot="1">
      <c r="A15" s="35" t="s">
        <v>33</v>
      </c>
      <c r="B15" s="30" t="s">
        <v>56</v>
      </c>
      <c r="C15" s="38">
        <v>530</v>
      </c>
      <c r="D15" s="65">
        <v>655.68</v>
      </c>
      <c r="E15" s="38">
        <v>187.67</v>
      </c>
      <c r="F15" s="38">
        <v>136.34</v>
      </c>
      <c r="G15" s="38">
        <v>298.95</v>
      </c>
      <c r="H15" s="38">
        <v>203.18</v>
      </c>
      <c r="I15" s="38">
        <v>177.35</v>
      </c>
      <c r="J15" s="38">
        <v>141.75</v>
      </c>
      <c r="K15" s="38">
        <v>138.84</v>
      </c>
      <c r="L15" s="38">
        <v>126.19</v>
      </c>
      <c r="M15" s="9">
        <v>4.7</v>
      </c>
      <c r="N15" s="10">
        <v>6.66</v>
      </c>
      <c r="O15" s="10">
        <v>6.38</v>
      </c>
      <c r="P15" s="10">
        <v>6.37</v>
      </c>
      <c r="Q15" s="10">
        <v>6.21</v>
      </c>
      <c r="R15" s="10">
        <v>5.43</v>
      </c>
      <c r="S15" s="10">
        <v>12.25</v>
      </c>
      <c r="T15" s="10">
        <v>6.36</v>
      </c>
      <c r="U15" s="10">
        <v>0</v>
      </c>
      <c r="V15" s="10">
        <v>11.72</v>
      </c>
      <c r="W15" s="10">
        <v>5.04</v>
      </c>
      <c r="X15" s="17">
        <v>13.73</v>
      </c>
      <c r="Y15" s="54">
        <f t="shared" si="2"/>
        <v>84.85000000000001</v>
      </c>
      <c r="Z15" s="76">
        <f t="shared" si="3"/>
        <v>2680.7999999999997</v>
      </c>
    </row>
    <row r="16" spans="1:26" ht="46.5" customHeight="1" thickBot="1">
      <c r="A16" s="35" t="s">
        <v>34</v>
      </c>
      <c r="B16" s="30" t="s">
        <v>57</v>
      </c>
      <c r="C16" s="38">
        <v>172.87</v>
      </c>
      <c r="D16" s="65">
        <v>1009.62</v>
      </c>
      <c r="E16" s="38">
        <v>975.49</v>
      </c>
      <c r="F16" s="38">
        <v>1334.5</v>
      </c>
      <c r="G16" s="38">
        <v>1160.91</v>
      </c>
      <c r="H16" s="38">
        <v>1554.76</v>
      </c>
      <c r="I16" s="38">
        <v>1297.24</v>
      </c>
      <c r="J16" s="38">
        <v>1400.62</v>
      </c>
      <c r="K16" s="38">
        <v>1548.03</v>
      </c>
      <c r="L16" s="38">
        <v>1683.25</v>
      </c>
      <c r="M16" s="9">
        <f>33.34+44.03+71.8</f>
        <v>149.17000000000002</v>
      </c>
      <c r="N16" s="10">
        <f>3.47+51.73+77.03</f>
        <v>132.23</v>
      </c>
      <c r="O16" s="10">
        <f>3.31+46.66+78.97</f>
        <v>128.94</v>
      </c>
      <c r="P16" s="10">
        <f>4.11+54.89+73.73</f>
        <v>132.73000000000002</v>
      </c>
      <c r="Q16" s="10">
        <f>3.46+68.59+73.18</f>
        <v>145.23000000000002</v>
      </c>
      <c r="R16" s="10">
        <f>3.36+57.9+69.02</f>
        <v>130.28</v>
      </c>
      <c r="S16" s="10">
        <f>3.63+47.25+70.02</f>
        <v>120.9</v>
      </c>
      <c r="T16" s="10">
        <f>67.95+3.43+47.65</f>
        <v>119.03</v>
      </c>
      <c r="U16" s="10">
        <f>3.88+61.42+104.93</f>
        <v>170.23000000000002</v>
      </c>
      <c r="V16" s="10">
        <f>3.61+102.57+102.12</f>
        <v>208.3</v>
      </c>
      <c r="W16" s="10">
        <f>3.97+82.37+98.31</f>
        <v>184.65</v>
      </c>
      <c r="X16" s="17">
        <f>4.48+114.45+90.2</f>
        <v>209.13</v>
      </c>
      <c r="Y16" s="55">
        <f t="shared" si="2"/>
        <v>1830.8200000000002</v>
      </c>
      <c r="Z16" s="75">
        <f t="shared" si="3"/>
        <v>13968.109999999999</v>
      </c>
    </row>
    <row r="17" spans="1:26" ht="15.75" customHeight="1" thickBot="1">
      <c r="A17" s="35" t="s">
        <v>35</v>
      </c>
      <c r="B17" s="30" t="s">
        <v>7</v>
      </c>
      <c r="C17" s="38">
        <v>5023.91</v>
      </c>
      <c r="D17" s="65">
        <v>9716.97</v>
      </c>
      <c r="E17" s="38">
        <v>12253.42</v>
      </c>
      <c r="F17" s="38">
        <v>13185.97</v>
      </c>
      <c r="G17" s="38">
        <v>13644.1</v>
      </c>
      <c r="H17" s="38">
        <v>6998.37</v>
      </c>
      <c r="I17" s="38">
        <v>13435.53</v>
      </c>
      <c r="J17" s="38">
        <v>13266.5</v>
      </c>
      <c r="K17" s="38">
        <v>11628.3</v>
      </c>
      <c r="L17" s="38">
        <v>17565.57</v>
      </c>
      <c r="M17" s="9">
        <f>1977.85-319.05</f>
        <v>1658.8</v>
      </c>
      <c r="N17" s="10">
        <f>1842.28-303.29</f>
        <v>1538.99</v>
      </c>
      <c r="O17" s="10">
        <f>1888.53-318.82</f>
        <v>1569.71</v>
      </c>
      <c r="P17" s="10">
        <f>1833.78-303.78</f>
        <v>1530</v>
      </c>
      <c r="Q17" s="10">
        <f>1884.95-324.63</f>
        <v>1560.3200000000002</v>
      </c>
      <c r="R17" s="10">
        <f>1871.03-305.35</f>
        <v>1565.6799999999998</v>
      </c>
      <c r="S17" s="10">
        <f>2086.56-321.38</f>
        <v>1765.1799999999998</v>
      </c>
      <c r="T17" s="10">
        <f>2089.43-335.48</f>
        <v>1753.9499999999998</v>
      </c>
      <c r="U17" s="10">
        <f>2197.15-402.66</f>
        <v>1794.49</v>
      </c>
      <c r="V17" s="10">
        <f>2273.03-442.84</f>
        <v>1830.1900000000003</v>
      </c>
      <c r="W17" s="10">
        <f>2355.18-385.84</f>
        <v>1969.34</v>
      </c>
      <c r="X17" s="17">
        <f>2437-409.79</f>
        <v>2027.21</v>
      </c>
      <c r="Y17" s="54">
        <f t="shared" si="2"/>
        <v>20563.86</v>
      </c>
      <c r="Z17" s="76">
        <f t="shared" si="3"/>
        <v>137282.5</v>
      </c>
    </row>
    <row r="18" spans="1:26" ht="17.25" customHeight="1" thickBot="1">
      <c r="A18" s="35" t="s">
        <v>49</v>
      </c>
      <c r="B18" s="90" t="s">
        <v>3</v>
      </c>
      <c r="C18" s="90">
        <v>608.75</v>
      </c>
      <c r="D18" s="91">
        <v>1505.62</v>
      </c>
      <c r="E18" s="90">
        <v>1103.1</v>
      </c>
      <c r="F18" s="90">
        <v>992.61</v>
      </c>
      <c r="G18" s="90">
        <v>1053.96</v>
      </c>
      <c r="H18" s="90">
        <v>1035.93</v>
      </c>
      <c r="I18" s="90">
        <v>976.89</v>
      </c>
      <c r="J18" s="90">
        <v>1115.61</v>
      </c>
      <c r="K18" s="90">
        <v>1071.37</v>
      </c>
      <c r="L18" s="90">
        <v>1006.03</v>
      </c>
      <c r="M18" s="92">
        <v>83.34</v>
      </c>
      <c r="N18" s="93">
        <v>83.34</v>
      </c>
      <c r="O18" s="93">
        <v>83.34</v>
      </c>
      <c r="P18" s="93">
        <v>83.34</v>
      </c>
      <c r="Q18" s="93">
        <v>83.34</v>
      </c>
      <c r="R18" s="93">
        <v>83.34</v>
      </c>
      <c r="S18" s="93">
        <v>83.34</v>
      </c>
      <c r="T18" s="93">
        <v>83.34</v>
      </c>
      <c r="U18" s="93">
        <v>83.34</v>
      </c>
      <c r="V18" s="93">
        <v>83.34</v>
      </c>
      <c r="W18" s="93">
        <v>83.34</v>
      </c>
      <c r="X18" s="94">
        <v>83.34</v>
      </c>
      <c r="Y18" s="55">
        <f t="shared" si="2"/>
        <v>1000.0800000000003</v>
      </c>
      <c r="Z18" s="75">
        <f t="shared" si="3"/>
        <v>11469.950000000003</v>
      </c>
    </row>
    <row r="19" spans="1:26" ht="18" customHeight="1" thickBot="1">
      <c r="A19" s="35"/>
      <c r="B19" s="39" t="s">
        <v>52</v>
      </c>
      <c r="C19" s="39"/>
      <c r="D19" s="95"/>
      <c r="E19" s="39"/>
      <c r="F19" s="39"/>
      <c r="G19" s="70">
        <f>G8*5%</f>
        <v>1364.259</v>
      </c>
      <c r="H19" s="70">
        <f>H8*5%</f>
        <v>1371.714</v>
      </c>
      <c r="I19" s="70">
        <v>1371.71</v>
      </c>
      <c r="J19" s="70">
        <f>J8*5%</f>
        <v>1403.03</v>
      </c>
      <c r="K19" s="70">
        <f>K8*5%</f>
        <v>1418.688</v>
      </c>
      <c r="L19" s="70">
        <f>L8*5%</f>
        <v>1324.314</v>
      </c>
      <c r="M19" s="71">
        <f>M8*5%</f>
        <v>110.35950000000001</v>
      </c>
      <c r="N19" s="71">
        <f>N8*5%</f>
        <v>110.35950000000001</v>
      </c>
      <c r="O19" s="71">
        <f aca="true" t="shared" si="4" ref="O19:X19">O8*5%</f>
        <v>110.35950000000001</v>
      </c>
      <c r="P19" s="71">
        <f t="shared" si="4"/>
        <v>110.35950000000001</v>
      </c>
      <c r="Q19" s="71">
        <f t="shared" si="4"/>
        <v>110.35950000000001</v>
      </c>
      <c r="R19" s="71">
        <f t="shared" si="4"/>
        <v>110.35950000000001</v>
      </c>
      <c r="S19" s="71">
        <f t="shared" si="4"/>
        <v>110.35950000000001</v>
      </c>
      <c r="T19" s="71">
        <f t="shared" si="4"/>
        <v>110.35950000000001</v>
      </c>
      <c r="U19" s="71">
        <f t="shared" si="4"/>
        <v>110.35950000000001</v>
      </c>
      <c r="V19" s="71">
        <f t="shared" si="4"/>
        <v>110.35950000000001</v>
      </c>
      <c r="W19" s="71">
        <f t="shared" si="4"/>
        <v>110.35950000000001</v>
      </c>
      <c r="X19" s="71">
        <f t="shared" si="4"/>
        <v>110.35950000000001</v>
      </c>
      <c r="Y19" s="70">
        <f t="shared" si="2"/>
        <v>1324.314</v>
      </c>
      <c r="Z19" s="76"/>
    </row>
    <row r="20" spans="1:26" ht="13.5" customHeight="1" thickBot="1">
      <c r="A20" s="35" t="s">
        <v>36</v>
      </c>
      <c r="B20" s="59" t="s">
        <v>46</v>
      </c>
      <c r="C20" s="40"/>
      <c r="D20" s="66"/>
      <c r="E20" s="40"/>
      <c r="F20" s="40"/>
      <c r="G20" s="40"/>
      <c r="H20" s="40"/>
      <c r="I20" s="70">
        <f aca="true" t="shared" si="5" ref="I20:X20">SUM(I8-I9)-I19</f>
        <v>-2378.250000000001</v>
      </c>
      <c r="J20" s="70">
        <f t="shared" si="5"/>
        <v>-2051.0700000000006</v>
      </c>
      <c r="K20" s="70">
        <f>SUM(K8-K9)-K19</f>
        <v>-346.17799999999806</v>
      </c>
      <c r="L20" s="70">
        <f>SUM(L8-L9)-L19</f>
        <v>2907.3860000000004</v>
      </c>
      <c r="M20" s="71">
        <f t="shared" si="5"/>
        <v>118.98050000000013</v>
      </c>
      <c r="N20" s="71">
        <f t="shared" si="5"/>
        <v>254.55050000000006</v>
      </c>
      <c r="O20" s="71">
        <f t="shared" si="5"/>
        <v>208.30050000000006</v>
      </c>
      <c r="P20" s="71">
        <f t="shared" si="5"/>
        <v>263.05050000000006</v>
      </c>
      <c r="Q20" s="71">
        <f t="shared" si="5"/>
        <v>211.88049999999998</v>
      </c>
      <c r="R20" s="71">
        <f t="shared" si="5"/>
        <v>225.80050000000028</v>
      </c>
      <c r="S20" s="71">
        <f t="shared" si="5"/>
        <v>10.270500000000098</v>
      </c>
      <c r="T20" s="71">
        <f t="shared" si="5"/>
        <v>7.400500000000207</v>
      </c>
      <c r="U20" s="71">
        <f t="shared" si="5"/>
        <v>-100.31950000000005</v>
      </c>
      <c r="V20" s="71">
        <f t="shared" si="5"/>
        <v>-176.19950000000063</v>
      </c>
      <c r="W20" s="71">
        <f t="shared" si="5"/>
        <v>-258.34950000000026</v>
      </c>
      <c r="X20" s="71">
        <f t="shared" si="5"/>
        <v>-340.16949999999997</v>
      </c>
      <c r="Y20" s="72">
        <f t="shared" si="2"/>
        <v>425.1959999999999</v>
      </c>
      <c r="Z20" s="58"/>
    </row>
    <row r="21" spans="1:26" ht="26.25" customHeight="1" thickBot="1">
      <c r="A21" s="77" t="s">
        <v>37</v>
      </c>
      <c r="B21" s="84" t="s">
        <v>21</v>
      </c>
      <c r="C21" s="85">
        <v>1495.23</v>
      </c>
      <c r="D21" s="80">
        <f>SUM(D8-D9)</f>
        <v>906.75</v>
      </c>
      <c r="E21" s="79">
        <f>SUM(E8-E9)</f>
        <v>359.7800000000025</v>
      </c>
      <c r="F21" s="79">
        <f>SUM(F8-F9)</f>
        <v>-643.9799999999959</v>
      </c>
      <c r="G21" s="86">
        <f aca="true" t="shared" si="6" ref="G21:M21">SUM(G8-G9)-G19</f>
        <v>-1975.769000000002</v>
      </c>
      <c r="H21" s="86">
        <f t="shared" si="6"/>
        <v>5109.786</v>
      </c>
      <c r="I21" s="86">
        <f t="shared" si="6"/>
        <v>-2378.250000000001</v>
      </c>
      <c r="J21" s="86">
        <f t="shared" si="6"/>
        <v>-2051.0700000000006</v>
      </c>
      <c r="K21" s="86">
        <f t="shared" si="6"/>
        <v>-346.17799999999806</v>
      </c>
      <c r="L21" s="86">
        <f>SUM(L8-L9)-L19</f>
        <v>2907.3860000000004</v>
      </c>
      <c r="M21" s="87">
        <f t="shared" si="6"/>
        <v>118.98050000000013</v>
      </c>
      <c r="N21" s="88">
        <f>SUM(N20+M21)</f>
        <v>373.5310000000002</v>
      </c>
      <c r="O21" s="88">
        <f aca="true" t="shared" si="7" ref="O21:X21">SUM(O20+N21)</f>
        <v>581.8315000000002</v>
      </c>
      <c r="P21" s="88">
        <f t="shared" si="7"/>
        <v>844.8820000000003</v>
      </c>
      <c r="Q21" s="88">
        <f t="shared" si="7"/>
        <v>1056.7625000000003</v>
      </c>
      <c r="R21" s="88">
        <f t="shared" si="7"/>
        <v>1282.5630000000006</v>
      </c>
      <c r="S21" s="88">
        <f t="shared" si="7"/>
        <v>1292.8335000000006</v>
      </c>
      <c r="T21" s="88">
        <f t="shared" si="7"/>
        <v>1300.2340000000008</v>
      </c>
      <c r="U21" s="88">
        <f t="shared" si="7"/>
        <v>1199.9145000000008</v>
      </c>
      <c r="V21" s="88">
        <f t="shared" si="7"/>
        <v>1023.7150000000001</v>
      </c>
      <c r="W21" s="88">
        <f t="shared" si="7"/>
        <v>765.3654999999999</v>
      </c>
      <c r="X21" s="88">
        <f t="shared" si="7"/>
        <v>425.1959999999999</v>
      </c>
      <c r="Y21" s="79"/>
      <c r="Z21" s="89"/>
    </row>
    <row r="22" spans="1:26" ht="30" customHeight="1" thickBot="1">
      <c r="A22" s="35" t="s">
        <v>38</v>
      </c>
      <c r="B22" s="31" t="s">
        <v>22</v>
      </c>
      <c r="C22" s="39">
        <v>1495.23</v>
      </c>
      <c r="D22" s="18">
        <f>SUM(D8-D9,C22)</f>
        <v>2401.98</v>
      </c>
      <c r="E22" s="54">
        <f>SUM(E8-E9,D22)</f>
        <v>2761.7600000000025</v>
      </c>
      <c r="F22" s="54">
        <f>SUM(F8-F9,E22)</f>
        <v>2117.7800000000066</v>
      </c>
      <c r="G22" s="73">
        <f aca="true" t="shared" si="8" ref="G22:M22">SUM(G21+F22)</f>
        <v>142.01100000000451</v>
      </c>
      <c r="H22" s="73">
        <f t="shared" si="8"/>
        <v>5251.797000000004</v>
      </c>
      <c r="I22" s="73">
        <f t="shared" si="8"/>
        <v>2873.547000000003</v>
      </c>
      <c r="J22" s="73">
        <f t="shared" si="8"/>
        <v>822.4770000000026</v>
      </c>
      <c r="K22" s="73">
        <f t="shared" si="8"/>
        <v>476.2990000000045</v>
      </c>
      <c r="L22" s="73">
        <f t="shared" si="8"/>
        <v>3383.685000000005</v>
      </c>
      <c r="M22" s="73">
        <f t="shared" si="8"/>
        <v>3502.665500000005</v>
      </c>
      <c r="N22" s="71">
        <f>SUM(N20+M22)</f>
        <v>3757.216000000005</v>
      </c>
      <c r="O22" s="71">
        <f aca="true" t="shared" si="9" ref="O22:W22">SUM(O20+N22)</f>
        <v>3965.516500000005</v>
      </c>
      <c r="P22" s="71">
        <f t="shared" si="9"/>
        <v>4228.5670000000055</v>
      </c>
      <c r="Q22" s="71">
        <f t="shared" si="9"/>
        <v>4440.447500000006</v>
      </c>
      <c r="R22" s="71">
        <f t="shared" si="9"/>
        <v>4666.248000000006</v>
      </c>
      <c r="S22" s="71">
        <f t="shared" si="9"/>
        <v>4676.5185000000065</v>
      </c>
      <c r="T22" s="71">
        <f t="shared" si="9"/>
        <v>4683.919000000007</v>
      </c>
      <c r="U22" s="71">
        <f t="shared" si="9"/>
        <v>4583.5995000000075</v>
      </c>
      <c r="V22" s="71">
        <f t="shared" si="9"/>
        <v>4407.400000000007</v>
      </c>
      <c r="W22" s="71">
        <f t="shared" si="9"/>
        <v>4149.050500000007</v>
      </c>
      <c r="X22" s="71">
        <f>SUM(X20+W22)</f>
        <v>3808.8810000000067</v>
      </c>
      <c r="Y22" s="54"/>
      <c r="Z22" s="48"/>
    </row>
    <row r="23" spans="1:26" ht="23.25" hidden="1" thickBot="1">
      <c r="A23" s="35" t="s">
        <v>38</v>
      </c>
      <c r="B23" s="39" t="s">
        <v>6</v>
      </c>
      <c r="C23" s="39"/>
      <c r="D23" s="39"/>
      <c r="E23" s="61"/>
      <c r="F23" s="61"/>
      <c r="G23" s="61"/>
      <c r="H23" s="61"/>
      <c r="I23" s="61"/>
      <c r="J23" s="61"/>
      <c r="K23" s="61"/>
      <c r="L23" s="61"/>
      <c r="M23" s="11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9"/>
      <c r="Y23" s="54"/>
      <c r="Z23" s="50"/>
    </row>
    <row r="24" spans="1:26" ht="15" customHeight="1" hidden="1" thickBot="1">
      <c r="A24" s="35" t="s">
        <v>39</v>
      </c>
      <c r="B24" s="32" t="s">
        <v>23</v>
      </c>
      <c r="C24" s="40"/>
      <c r="D24" s="40"/>
      <c r="E24" s="60"/>
      <c r="F24" s="60"/>
      <c r="G24" s="60"/>
      <c r="H24" s="60"/>
      <c r="I24" s="60"/>
      <c r="J24" s="60"/>
      <c r="K24" s="60"/>
      <c r="L24" s="60"/>
      <c r="M24" s="13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20"/>
      <c r="Y24" s="56"/>
      <c r="Z24" s="49"/>
    </row>
    <row r="25" spans="1:26" ht="1.5" customHeight="1" hidden="1" thickBot="1">
      <c r="A25" s="36" t="s">
        <v>40</v>
      </c>
      <c r="B25" s="33" t="s">
        <v>44</v>
      </c>
      <c r="C25" s="41"/>
      <c r="D25" s="41"/>
      <c r="E25" s="62"/>
      <c r="F25" s="62"/>
      <c r="G25" s="62"/>
      <c r="H25" s="62"/>
      <c r="I25" s="62"/>
      <c r="J25" s="62"/>
      <c r="K25" s="62"/>
      <c r="L25" s="62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5">
        <f>SUM(X21-X23)</f>
        <v>425.1959999999999</v>
      </c>
      <c r="Y25" s="57"/>
      <c r="Z25" s="51"/>
    </row>
    <row r="26" spans="1:26" ht="24" customHeight="1" hidden="1" thickBot="1">
      <c r="A26" s="36" t="s">
        <v>43</v>
      </c>
      <c r="B26" s="33" t="s">
        <v>24</v>
      </c>
      <c r="C26" s="41"/>
      <c r="D26" s="41"/>
      <c r="E26" s="62"/>
      <c r="F26" s="62"/>
      <c r="G26" s="62"/>
      <c r="H26" s="62"/>
      <c r="I26" s="62"/>
      <c r="J26" s="62"/>
      <c r="K26" s="62"/>
      <c r="L26" s="62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5">
        <f>SUM(X22-X23)</f>
        <v>3808.8810000000067</v>
      </c>
      <c r="Y26" s="57"/>
      <c r="Z26" s="51"/>
    </row>
    <row r="27" spans="2:26" ht="12" customHeight="1"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3"/>
    </row>
    <row r="28" ht="12.75">
      <c r="B28" t="s">
        <v>59</v>
      </c>
    </row>
    <row r="29" ht="12.75" hidden="1"/>
    <row r="30" ht="12.75" hidden="1"/>
    <row r="31" ht="12.75" hidden="1"/>
    <row r="36" ht="12.75" customHeight="1"/>
    <row r="37" ht="12.75" customHeight="1"/>
  </sheetData>
  <sheetProtection/>
  <mergeCells count="5">
    <mergeCell ref="B4:Z4"/>
    <mergeCell ref="B5:Z5"/>
    <mergeCell ref="B3:Z3"/>
    <mergeCell ref="B1:O1"/>
    <mergeCell ref="B2:X2"/>
  </mergeCells>
  <printOptions/>
  <pageMargins left="0.24" right="0.24" top="1" bottom="0.24" header="0.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2020-02-20T05:34:43Z</cp:lastPrinted>
  <dcterms:created xsi:type="dcterms:W3CDTF">2011-06-16T11:06:26Z</dcterms:created>
  <dcterms:modified xsi:type="dcterms:W3CDTF">2021-02-24T06:32:08Z</dcterms:modified>
  <cp:category/>
  <cp:version/>
  <cp:contentType/>
  <cp:contentStatus/>
</cp:coreProperties>
</file>