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<sst xmlns="http://schemas.openxmlformats.org/spreadsheetml/2006/main" count="81" uniqueCount="81">
  <si>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</si>
  <si>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</si>
  <si>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</si>
  <si>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</si>
  <si>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</si>
  <si>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</si>
  <si>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</si>
  <si>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</si>
  <si>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</si>
  <si>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</si>
  <si>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</si>
  <si>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</si>
  <si>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</si>
  <si>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</si>
  <si>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</si>
  <si>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</si>
  <si>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</si>
  <si>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</si>
  <si>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</si>
  <si>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</si>
  <si>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</si>
  <si>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</si>
  <si>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</si>
  <si>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</si>
  <si>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</si>
  <si>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</si>
  <si>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</si>
  <si>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</si>
  <si>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</si>
  <si>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</si>
  <si>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</si>
  <si>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</si>
  <si>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</si>
  <si>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</si>
  <si>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</si>
  <si>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</si>
  <si>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</si>
  <si>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</si>
  <si>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</si>
  <si>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</si>
  <si>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</si>
  <si>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</si>
  <si>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</si>
  <si>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</si>
  <si>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ул. Горького  д.10</t>
  </si>
  <si>
    <t>10</t>
  </si>
  <si>
    <t>Финансовый результат по дому с начала года</t>
  </si>
  <si>
    <t>за 2010 г</t>
  </si>
  <si>
    <t>Итого за 2011г</t>
  </si>
  <si>
    <t>Проверка дымовых каналов</t>
  </si>
  <si>
    <t>11</t>
  </si>
  <si>
    <t>Результат за месяц</t>
  </si>
  <si>
    <t>Итого за 2012г</t>
  </si>
  <si>
    <t>Благоустройство территории</t>
  </si>
  <si>
    <t>4.12</t>
  </si>
  <si>
    <t>4.13</t>
  </si>
  <si>
    <t xml:space="preserve">Материалы </t>
  </si>
  <si>
    <t>Итого за 2013г</t>
  </si>
  <si>
    <t>Итого за 2014г</t>
  </si>
  <si>
    <t>рентабельность 5%</t>
  </si>
  <si>
    <t>Итого за 2015г</t>
  </si>
  <si>
    <t>Транспортные(ГСМ,зап.части,амортизация,страхование ит.д.)</t>
  </si>
  <si>
    <t xml:space="preserve">Расходы на управление,аренда, связь </t>
  </si>
  <si>
    <t>Услуги сторонних орган.</t>
  </si>
  <si>
    <t>Исполнитель  вед. экономист /Викторова Л.С./</t>
  </si>
  <si>
    <t xml:space="preserve">Услуги агентские,охрана труда,отопление, хол.вода, эл.энегрия   </t>
  </si>
  <si>
    <t>Итого за 2016г</t>
  </si>
  <si>
    <t>Итого за 2017г</t>
  </si>
  <si>
    <t>Начислено СОИД</t>
  </si>
  <si>
    <t>Электроэнергия  СОИД</t>
  </si>
  <si>
    <t>Холодная вода СОИД</t>
  </si>
  <si>
    <t>Канализация СОИД</t>
  </si>
  <si>
    <t>Дератизация</t>
  </si>
  <si>
    <t>Итого за 2018г</t>
  </si>
  <si>
    <t>Итого за 2019г</t>
  </si>
  <si>
    <t>Дом по ул.Горького д.10 вступил в ООО "Наш дом" с апреля 2010 года  тариф 9,2 руб, с января 2019 года тариф 8,6 руб.</t>
  </si>
  <si>
    <t>ООО "НД УНЕЧА"</t>
  </si>
  <si>
    <t>Итого за 2020г</t>
  </si>
  <si>
    <t>Всего за 2010-2020</t>
  </si>
  <si>
    <t>Прочие доходы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</si>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</sst>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6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1" fillId="0" borderId="35" xfId="0" applyFont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3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1" fillId="0" borderId="32" xfId="0" applyFont="1" applyBorder="1" applyAlignment="1">
      <alignment/>
    </xf>
    <xf numFmtId="49" fontId="0" fillId="0" borderId="36" xfId="0" applyNumberFormat="1" applyBorder="1" applyAlignment="1">
      <alignment horizontal="center"/>
    </xf>
    <xf numFmtId="2" fontId="25" fillId="0" borderId="27" xfId="0" applyNumberFormat="1" applyFont="1" applyBorder="1" applyAlignment="1">
      <alignment/>
    </xf>
    <xf numFmtId="0" fontId="25" fillId="0" borderId="32" xfId="0" applyFont="1" applyBorder="1" applyAlignment="1">
      <alignment/>
    </xf>
    <xf numFmtId="0" fontId="26" fillId="0" borderId="32" xfId="0" applyFont="1" applyBorder="1" applyAlignment="1">
      <alignment wrapText="1"/>
    </xf>
    <xf numFmtId="0" fontId="25" fillId="0" borderId="35" xfId="0" applyFont="1" applyBorder="1" applyAlignment="1">
      <alignment/>
    </xf>
    <xf numFmtId="0" fontId="21" fillId="0" borderId="26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6" fillId="0" borderId="38" xfId="0" applyFont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0" fontId="21" fillId="0" borderId="39" xfId="0" applyFont="1" applyBorder="1" applyAlignment="1">
      <alignment wrapText="1"/>
    </xf>
    <xf numFmtId="0" fontId="21" fillId="0" borderId="40" xfId="0" applyFont="1" applyBorder="1" applyAlignment="1">
      <alignment wrapText="1"/>
    </xf>
    <xf numFmtId="0" fontId="21" fillId="0" borderId="41" xfId="0" applyFont="1" applyBorder="1" applyAlignment="1">
      <alignment wrapText="1"/>
    </xf>
    <xf numFmtId="2" fontId="21" fillId="0" borderId="35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0" fontId="26" fillId="0" borderId="37" xfId="0" applyFont="1" applyBorder="1" applyAlignment="1">
      <alignment wrapText="1"/>
    </xf>
    <xf numFmtId="2" fontId="21" fillId="0" borderId="36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35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27" xfId="0" applyFont="1" applyBorder="1" applyAlignment="1">
      <alignment/>
    </xf>
    <xf numFmtId="0" fontId="22" fillId="0" borderId="0" xfId="0" applyFont="1" applyAlignment="1">
      <alignment/>
    </xf>
    <xf numFmtId="0" fontId="27" fillId="0" borderId="27" xfId="0" applyFont="1" applyBorder="1" applyAlignment="1">
      <alignment wrapText="1"/>
    </xf>
    <xf numFmtId="0" fontId="27" fillId="0" borderId="35" xfId="0" applyFont="1" applyBorder="1" applyAlignment="1">
      <alignment wrapText="1"/>
    </xf>
    <xf numFmtId="2" fontId="27" fillId="0" borderId="35" xfId="0" applyNumberFormat="1" applyFont="1" applyBorder="1" applyAlignment="1">
      <alignment/>
    </xf>
    <xf numFmtId="2" fontId="27" fillId="0" borderId="23" xfId="0" applyNumberFormat="1" applyFont="1" applyBorder="1" applyAlignment="1">
      <alignment/>
    </xf>
    <xf numFmtId="0" fontId="22" fillId="0" borderId="27" xfId="0" applyFont="1" applyBorder="1" applyAlignment="1">
      <alignment/>
    </xf>
    <xf numFmtId="0" fontId="24" fillId="0" borderId="42" xfId="0" applyFont="1" applyBorder="1" applyAlignment="1">
      <alignment wrapText="1"/>
    </xf>
    <xf numFmtId="0" fontId="26" fillId="0" borderId="43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1" fillId="0" borderId="44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B4">
      <selection activeCell="U42" sqref="U42"/>
    </sheetView>
  </sheetViews>
  <sheetFormatPr defaultColWidth="9.00390625" defaultRowHeight="12.75"/>
  <cols>
    <col min="1" max="1" width="3.125" style="28" hidden="1" customWidth="1"/>
    <col min="2" max="2" width="20.00390625" style="0" customWidth="1"/>
    <col min="3" max="3" width="8.00390625" style="0" hidden="1" customWidth="1"/>
    <col min="4" max="4" width="7.375" style="0" hidden="1" customWidth="1"/>
    <col min="5" max="5" width="9.125" style="0" hidden="1" customWidth="1"/>
    <col min="6" max="6" width="8.375" style="0" hidden="1" customWidth="1"/>
    <col min="7" max="7" width="8.875" style="0" hidden="1" customWidth="1"/>
    <col min="8" max="8" width="9.875" style="0" hidden="1" customWidth="1"/>
    <col min="9" max="10" width="10.125" style="0" hidden="1" customWidth="1"/>
    <col min="11" max="12" width="8.625" style="0" hidden="1" customWidth="1"/>
    <col min="13" max="13" width="8.625" style="0" customWidth="1"/>
    <col min="14" max="14" width="8.75390625" style="0" customWidth="1"/>
    <col min="15" max="16" width="8.625" style="0" customWidth="1"/>
    <col min="17" max="17" width="8.75390625" style="0" customWidth="1"/>
    <col min="18" max="18" width="8.625" style="0" customWidth="1"/>
    <col min="19" max="19" width="8.25390625" style="0" customWidth="1"/>
    <col min="20" max="20" width="8.875" style="0" customWidth="1"/>
    <col min="21" max="21" width="9.375" style="0" customWidth="1"/>
    <col min="22" max="22" width="8.125" style="0" customWidth="1"/>
    <col min="23" max="23" width="8.75390625" style="0" customWidth="1"/>
    <col min="24" max="24" width="8.875" style="0" customWidth="1"/>
    <col min="25" max="25" width="9.25390625" style="0" customWidth="1"/>
    <col min="26" max="26" width="9.75390625" style="0" customWidth="1"/>
  </cols>
  <sheetData>
    <row r="1" spans="2:31" ht="12.75" customHeight="1">
      <c r="B1" s="95" t="s">
        <v>76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95" t="s">
        <v>75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4"/>
      <c r="Y2" s="4"/>
      <c r="Z2" s="4"/>
      <c r="AA2" s="4"/>
      <c r="AB2" s="4"/>
      <c r="AC2" s="4"/>
      <c r="AD2" s="4"/>
      <c r="AE2" s="4"/>
    </row>
    <row r="3" spans="2:31" ht="16.5" customHeight="1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3"/>
      <c r="AB3" s="3"/>
      <c r="AC3" s="3"/>
      <c r="AD3" s="3"/>
      <c r="AE3" s="3"/>
    </row>
    <row r="4" spans="2:31" ht="15" customHeight="1">
      <c r="B4" s="93" t="s">
        <v>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2"/>
      <c r="AB4" s="2"/>
      <c r="AC4" s="2"/>
      <c r="AD4" s="2"/>
      <c r="AE4" s="2"/>
    </row>
    <row r="5" spans="2:31" ht="15.75" customHeight="1" thickBot="1">
      <c r="B5" s="93" t="s">
        <v>44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2"/>
      <c r="AB5" s="2"/>
      <c r="AC5" s="2"/>
      <c r="AD5" s="2"/>
      <c r="AE5" s="2"/>
    </row>
    <row r="6" spans="2:31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30.75" customHeight="1" thickBot="1">
      <c r="A7" s="38" t="s">
        <v>25</v>
      </c>
      <c r="B7" s="29" t="s">
        <v>5</v>
      </c>
      <c r="C7" s="42" t="s">
        <v>47</v>
      </c>
      <c r="D7" s="53" t="s">
        <v>48</v>
      </c>
      <c r="E7" s="53" t="s">
        <v>52</v>
      </c>
      <c r="F7" s="53" t="s">
        <v>57</v>
      </c>
      <c r="G7" s="53" t="s">
        <v>58</v>
      </c>
      <c r="H7" s="53" t="s">
        <v>60</v>
      </c>
      <c r="I7" s="53" t="s">
        <v>66</v>
      </c>
      <c r="J7" s="53" t="s">
        <v>67</v>
      </c>
      <c r="K7" s="53" t="s">
        <v>73</v>
      </c>
      <c r="L7" s="53" t="s">
        <v>74</v>
      </c>
      <c r="M7" s="6" t="s">
        <v>9</v>
      </c>
      <c r="N7" s="5" t="s">
        <v>10</v>
      </c>
      <c r="O7" s="5" t="s">
        <v>11</v>
      </c>
      <c r="P7" s="5" t="s">
        <v>12</v>
      </c>
      <c r="Q7" s="5" t="s">
        <v>13</v>
      </c>
      <c r="R7" s="5" t="s">
        <v>14</v>
      </c>
      <c r="S7" s="5" t="s">
        <v>15</v>
      </c>
      <c r="T7" s="5" t="s">
        <v>16</v>
      </c>
      <c r="U7" s="5" t="s">
        <v>17</v>
      </c>
      <c r="V7" s="5" t="s">
        <v>18</v>
      </c>
      <c r="W7" s="5" t="s">
        <v>20</v>
      </c>
      <c r="X7" s="17" t="s">
        <v>19</v>
      </c>
      <c r="Y7" s="53" t="s">
        <v>77</v>
      </c>
      <c r="Z7" s="49" t="s">
        <v>78</v>
      </c>
      <c r="AA7" s="1"/>
      <c r="AB7" s="1"/>
      <c r="AC7" s="1"/>
      <c r="AD7" s="1"/>
      <c r="AE7" s="1"/>
    </row>
    <row r="8" spans="1:26" ht="13.5" thickBot="1">
      <c r="A8" s="39" t="s">
        <v>26</v>
      </c>
      <c r="B8" s="30" t="s">
        <v>1</v>
      </c>
      <c r="C8" s="61">
        <v>105099.88</v>
      </c>
      <c r="D8" s="66">
        <v>140069.08</v>
      </c>
      <c r="E8" s="61">
        <v>139888.76</v>
      </c>
      <c r="F8" s="61">
        <v>139534.56</v>
      </c>
      <c r="G8" s="75">
        <v>139505.12</v>
      </c>
      <c r="H8" s="61">
        <v>139487.64</v>
      </c>
      <c r="I8" s="61">
        <v>139363.44</v>
      </c>
      <c r="J8" s="61">
        <v>139273.28</v>
      </c>
      <c r="K8" s="61">
        <v>139168.4</v>
      </c>
      <c r="L8" s="61">
        <v>130062.96</v>
      </c>
      <c r="M8" s="7">
        <v>10838.58</v>
      </c>
      <c r="N8" s="7">
        <v>10838.58</v>
      </c>
      <c r="O8" s="7">
        <v>10838.58</v>
      </c>
      <c r="P8" s="7">
        <v>10838.58</v>
      </c>
      <c r="Q8" s="7">
        <v>10838.58</v>
      </c>
      <c r="R8" s="7">
        <v>10838.58</v>
      </c>
      <c r="S8" s="7">
        <v>10838.58</v>
      </c>
      <c r="T8" s="7">
        <v>10838.58</v>
      </c>
      <c r="U8" s="7">
        <v>10838.58</v>
      </c>
      <c r="V8" s="7">
        <v>10838.58</v>
      </c>
      <c r="W8" s="7">
        <v>10838.58</v>
      </c>
      <c r="X8" s="7">
        <v>10838.58</v>
      </c>
      <c r="Y8" s="57">
        <f>SUM(M8:X8)</f>
        <v>130062.96</v>
      </c>
      <c r="Z8" s="60">
        <f>SUM(C8:X8)</f>
        <v>1481516.0800000008</v>
      </c>
    </row>
    <row r="9" spans="1:26" ht="13.5" thickBot="1">
      <c r="A9" s="39"/>
      <c r="B9" s="30" t="s">
        <v>68</v>
      </c>
      <c r="C9" s="75"/>
      <c r="D9" s="66"/>
      <c r="E9" s="75"/>
      <c r="F9" s="75"/>
      <c r="G9" s="75"/>
      <c r="H9" s="75"/>
      <c r="I9" s="75"/>
      <c r="J9" s="75">
        <v>10324.89</v>
      </c>
      <c r="K9" s="75">
        <v>7686.74</v>
      </c>
      <c r="L9" s="75">
        <v>1488.48</v>
      </c>
      <c r="M9" s="7">
        <f aca="true" t="shared" si="0" ref="M9:R9">64.96+62.86</f>
        <v>127.82</v>
      </c>
      <c r="N9" s="7">
        <f t="shared" si="0"/>
        <v>127.82</v>
      </c>
      <c r="O9" s="7">
        <f t="shared" si="0"/>
        <v>127.82</v>
      </c>
      <c r="P9" s="7">
        <f t="shared" si="0"/>
        <v>127.82</v>
      </c>
      <c r="Q9" s="7">
        <f t="shared" si="0"/>
        <v>127.82</v>
      </c>
      <c r="R9" s="7">
        <f t="shared" si="0"/>
        <v>127.82</v>
      </c>
      <c r="S9" s="8">
        <f aca="true" t="shared" si="1" ref="S9:X9">67.64+63.06</f>
        <v>130.7</v>
      </c>
      <c r="T9" s="8">
        <f t="shared" si="1"/>
        <v>130.7</v>
      </c>
      <c r="U9" s="8">
        <f t="shared" si="1"/>
        <v>130.7</v>
      </c>
      <c r="V9" s="8">
        <f t="shared" si="1"/>
        <v>130.7</v>
      </c>
      <c r="W9" s="8">
        <f t="shared" si="1"/>
        <v>130.7</v>
      </c>
      <c r="X9" s="8">
        <f t="shared" si="1"/>
        <v>130.7</v>
      </c>
      <c r="Y9" s="57">
        <f>SUM(M9:X9)</f>
        <v>1551.1200000000001</v>
      </c>
      <c r="Z9" s="60">
        <f>SUM(C9:X9)</f>
        <v>21051.23</v>
      </c>
    </row>
    <row r="10" spans="1:26" ht="13.5" thickBot="1">
      <c r="A10" s="39"/>
      <c r="B10" s="89" t="s">
        <v>79</v>
      </c>
      <c r="C10" s="90"/>
      <c r="D10" s="91"/>
      <c r="E10" s="90"/>
      <c r="F10" s="90"/>
      <c r="G10" s="90"/>
      <c r="H10" s="90"/>
      <c r="I10" s="90"/>
      <c r="J10" s="90"/>
      <c r="K10" s="90"/>
      <c r="L10" s="90"/>
      <c r="M10" s="92">
        <v>400</v>
      </c>
      <c r="N10" s="92">
        <v>400</v>
      </c>
      <c r="O10" s="92">
        <v>400</v>
      </c>
      <c r="P10" s="92">
        <v>400</v>
      </c>
      <c r="Q10" s="92">
        <v>400</v>
      </c>
      <c r="R10" s="92">
        <v>400</v>
      </c>
      <c r="S10" s="92">
        <v>400</v>
      </c>
      <c r="T10" s="92">
        <v>400</v>
      </c>
      <c r="U10" s="92">
        <v>400</v>
      </c>
      <c r="V10" s="92">
        <v>400</v>
      </c>
      <c r="W10" s="92">
        <v>400</v>
      </c>
      <c r="X10" s="92">
        <v>400</v>
      </c>
      <c r="Y10" s="57">
        <f>SUM(M10:X10)</f>
        <v>4800</v>
      </c>
      <c r="Z10" s="60">
        <f>SUM(C10:X10)</f>
        <v>4800</v>
      </c>
    </row>
    <row r="11" spans="1:26" s="83" customFormat="1" ht="13.5" thickBot="1">
      <c r="A11" s="77" t="s">
        <v>27</v>
      </c>
      <c r="B11" s="78" t="s">
        <v>2</v>
      </c>
      <c r="C11" s="79">
        <f aca="true" t="shared" si="2" ref="C11:M11">SUM(C12:C26)</f>
        <v>82262.11</v>
      </c>
      <c r="D11" s="80">
        <f t="shared" si="2"/>
        <v>122707.51999999999</v>
      </c>
      <c r="E11" s="79">
        <f t="shared" si="2"/>
        <v>136505.29</v>
      </c>
      <c r="F11" s="79">
        <f t="shared" si="2"/>
        <v>150124.75</v>
      </c>
      <c r="G11" s="79">
        <f t="shared" si="2"/>
        <v>151708.16</v>
      </c>
      <c r="H11" s="79">
        <f>SUM(H12:H26)</f>
        <v>167935.61</v>
      </c>
      <c r="I11" s="79">
        <f>SUM(I12:I26)</f>
        <v>152375.57</v>
      </c>
      <c r="J11" s="79">
        <f>SUM(J12:J26)</f>
        <v>148833.04</v>
      </c>
      <c r="K11" s="79">
        <f t="shared" si="2"/>
        <v>159237.97</v>
      </c>
      <c r="L11" s="79">
        <f t="shared" si="2"/>
        <v>136346.41</v>
      </c>
      <c r="M11" s="81">
        <f t="shared" si="2"/>
        <v>12351.239999999998</v>
      </c>
      <c r="N11" s="81">
        <f aca="true" t="shared" si="3" ref="N11:X11">SUM(N12:N26)</f>
        <v>20264.559999999998</v>
      </c>
      <c r="O11" s="81">
        <f t="shared" si="3"/>
        <v>11505.91</v>
      </c>
      <c r="P11" s="81">
        <f t="shared" si="3"/>
        <v>10939.51</v>
      </c>
      <c r="Q11" s="81">
        <f t="shared" si="3"/>
        <v>11139.580000000002</v>
      </c>
      <c r="R11" s="81">
        <f t="shared" si="3"/>
        <v>11243.88</v>
      </c>
      <c r="S11" s="81">
        <f t="shared" si="3"/>
        <v>10401.97</v>
      </c>
      <c r="T11" s="81">
        <f t="shared" si="3"/>
        <v>11273.28</v>
      </c>
      <c r="U11" s="81">
        <f t="shared" si="3"/>
        <v>12211.04</v>
      </c>
      <c r="V11" s="81">
        <f t="shared" si="3"/>
        <v>13479.560000000001</v>
      </c>
      <c r="W11" s="81">
        <f t="shared" si="3"/>
        <v>14133.33</v>
      </c>
      <c r="X11" s="80">
        <f t="shared" si="3"/>
        <v>20658.880000000005</v>
      </c>
      <c r="Y11" s="79">
        <f>SUM(M11:X11)</f>
        <v>159602.74</v>
      </c>
      <c r="Z11" s="82">
        <f>SUM(C11:X11)</f>
        <v>1567639.17</v>
      </c>
    </row>
    <row r="12" spans="1:26" ht="13.5" customHeight="1" thickBot="1">
      <c r="A12" s="39" t="s">
        <v>28</v>
      </c>
      <c r="B12" s="32" t="s">
        <v>80</v>
      </c>
      <c r="C12" s="47">
        <v>18562.98</v>
      </c>
      <c r="D12" s="67">
        <v>24480.42</v>
      </c>
      <c r="E12" s="47">
        <v>22828.93</v>
      </c>
      <c r="F12" s="47">
        <v>29856.1</v>
      </c>
      <c r="G12" s="47">
        <v>30221.91</v>
      </c>
      <c r="H12" s="47">
        <v>26200.86</v>
      </c>
      <c r="I12" s="47">
        <v>24557.39</v>
      </c>
      <c r="J12" s="47">
        <v>23918.83</v>
      </c>
      <c r="K12" s="47">
        <v>21917.79</v>
      </c>
      <c r="L12" s="47">
        <v>233.85</v>
      </c>
      <c r="M12" s="7"/>
      <c r="N12" s="8">
        <v>15.39</v>
      </c>
      <c r="O12" s="8">
        <v>18.38</v>
      </c>
      <c r="P12" s="8">
        <v>20.6</v>
      </c>
      <c r="Q12" s="8">
        <v>32.99</v>
      </c>
      <c r="R12" s="8">
        <v>24.28</v>
      </c>
      <c r="S12" s="8">
        <v>39.49</v>
      </c>
      <c r="T12" s="8">
        <v>40.88</v>
      </c>
      <c r="U12" s="8">
        <v>97.06</v>
      </c>
      <c r="V12" s="8">
        <v>39.54</v>
      </c>
      <c r="W12" s="8">
        <v>2.87</v>
      </c>
      <c r="X12" s="18">
        <v>3.81</v>
      </c>
      <c r="Y12" s="54">
        <f aca="true" t="shared" si="4" ref="Y12:Y25">SUM(M12:X12)</f>
        <v>335.29</v>
      </c>
      <c r="Z12" s="59">
        <f>SUM(C12:X12)</f>
        <v>223114.35000000006</v>
      </c>
    </row>
    <row r="13" spans="1:26" ht="12.75" customHeight="1" thickBot="1">
      <c r="A13" s="39" t="s">
        <v>29</v>
      </c>
      <c r="B13" s="33" t="s">
        <v>63</v>
      </c>
      <c r="C13" s="48">
        <v>21289.99</v>
      </c>
      <c r="D13" s="68">
        <v>12772.31</v>
      </c>
      <c r="E13" s="48">
        <f>191.99+630</f>
        <v>821.99</v>
      </c>
      <c r="F13" s="48">
        <v>4980.54</v>
      </c>
      <c r="G13" s="48">
        <v>866.95</v>
      </c>
      <c r="H13" s="48">
        <v>6450.46</v>
      </c>
      <c r="I13" s="48">
        <v>8165.98</v>
      </c>
      <c r="J13" s="48">
        <v>1043.08</v>
      </c>
      <c r="K13" s="48">
        <v>866.9</v>
      </c>
      <c r="L13" s="48">
        <v>2423</v>
      </c>
      <c r="M13" s="9"/>
      <c r="N13" s="10">
        <v>10240</v>
      </c>
      <c r="O13" s="10"/>
      <c r="P13" s="10"/>
      <c r="Q13" s="10"/>
      <c r="R13" s="10"/>
      <c r="S13" s="10"/>
      <c r="T13" s="10"/>
      <c r="U13" s="10"/>
      <c r="V13" s="10"/>
      <c r="W13" s="10"/>
      <c r="X13" s="19"/>
      <c r="Y13" s="54">
        <f t="shared" si="4"/>
        <v>10240</v>
      </c>
      <c r="Z13" s="50">
        <f aca="true" t="shared" si="5" ref="Z13:Z26">SUM(C13:X13)</f>
        <v>69921.20000000001</v>
      </c>
    </row>
    <row r="14" spans="1:26" ht="15" customHeight="1" thickBot="1">
      <c r="A14" s="39" t="s">
        <v>30</v>
      </c>
      <c r="B14" s="31" t="s">
        <v>4</v>
      </c>
      <c r="C14" s="48">
        <v>3878.27</v>
      </c>
      <c r="D14" s="68">
        <v>0</v>
      </c>
      <c r="E14" s="48">
        <v>0</v>
      </c>
      <c r="F14" s="48">
        <v>6872.9</v>
      </c>
      <c r="G14" s="48"/>
      <c r="H14" s="48">
        <v>0</v>
      </c>
      <c r="I14" s="48">
        <v>8602.7</v>
      </c>
      <c r="J14" s="48">
        <v>0</v>
      </c>
      <c r="K14" s="48">
        <v>5646.19</v>
      </c>
      <c r="L14" s="48">
        <v>5866.6</v>
      </c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9">
        <v>6126.7</v>
      </c>
      <c r="Y14" s="54">
        <f t="shared" si="4"/>
        <v>6126.7</v>
      </c>
      <c r="Z14" s="50">
        <f t="shared" si="5"/>
        <v>36993.36</v>
      </c>
    </row>
    <row r="15" spans="1:26" ht="21.75" customHeight="1" thickBot="1">
      <c r="A15" s="39" t="s">
        <v>31</v>
      </c>
      <c r="B15" s="31" t="s">
        <v>49</v>
      </c>
      <c r="C15" s="48">
        <v>0</v>
      </c>
      <c r="D15" s="68">
        <v>1589.2</v>
      </c>
      <c r="E15" s="48">
        <v>0</v>
      </c>
      <c r="F15" s="48">
        <v>0</v>
      </c>
      <c r="G15" s="48"/>
      <c r="H15" s="48">
        <v>0</v>
      </c>
      <c r="I15" s="48">
        <v>0</v>
      </c>
      <c r="J15" s="48">
        <v>2200</v>
      </c>
      <c r="K15" s="48">
        <v>1200</v>
      </c>
      <c r="L15" s="48">
        <v>1300</v>
      </c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9"/>
      <c r="Y15" s="54">
        <f t="shared" si="4"/>
        <v>0</v>
      </c>
      <c r="Z15" s="50">
        <f t="shared" si="5"/>
        <v>6289.2</v>
      </c>
    </row>
    <row r="16" spans="1:26" ht="14.25" customHeight="1" thickBot="1">
      <c r="A16" s="39" t="s">
        <v>32</v>
      </c>
      <c r="B16" s="33" t="s">
        <v>56</v>
      </c>
      <c r="C16" s="48">
        <v>675.28</v>
      </c>
      <c r="D16" s="68">
        <v>3392.62</v>
      </c>
      <c r="E16" s="48">
        <v>10423.28</v>
      </c>
      <c r="F16" s="48">
        <v>3545.81</v>
      </c>
      <c r="G16" s="48">
        <v>6540.65</v>
      </c>
      <c r="H16" s="48">
        <v>17897.84</v>
      </c>
      <c r="I16" s="48">
        <v>4498.68</v>
      </c>
      <c r="J16" s="48">
        <v>1413.12</v>
      </c>
      <c r="K16" s="48">
        <v>1312.9</v>
      </c>
      <c r="L16" s="48">
        <v>1197.69</v>
      </c>
      <c r="M16" s="9">
        <v>60</v>
      </c>
      <c r="N16" s="10"/>
      <c r="O16" s="10"/>
      <c r="P16" s="10"/>
      <c r="Q16" s="10"/>
      <c r="R16" s="10">
        <v>60</v>
      </c>
      <c r="S16" s="10"/>
      <c r="T16" s="10">
        <v>60</v>
      </c>
      <c r="U16" s="10">
        <v>405.62</v>
      </c>
      <c r="V16" s="10">
        <v>282.5</v>
      </c>
      <c r="W16" s="10"/>
      <c r="X16" s="19"/>
      <c r="Y16" s="54">
        <f t="shared" si="4"/>
        <v>868.12</v>
      </c>
      <c r="Z16" s="50">
        <f t="shared" si="5"/>
        <v>51765.990000000005</v>
      </c>
    </row>
    <row r="17" spans="1:26" ht="21" customHeight="1" thickBot="1">
      <c r="A17" s="39" t="s">
        <v>33</v>
      </c>
      <c r="B17" s="33" t="s">
        <v>53</v>
      </c>
      <c r="C17" s="48">
        <v>0</v>
      </c>
      <c r="D17" s="68">
        <v>0</v>
      </c>
      <c r="E17" s="48">
        <v>256</v>
      </c>
      <c r="F17" s="48">
        <v>0</v>
      </c>
      <c r="G17" s="48">
        <v>8770.36</v>
      </c>
      <c r="H17" s="48">
        <v>1852.96</v>
      </c>
      <c r="I17" s="48">
        <v>186</v>
      </c>
      <c r="J17" s="48">
        <v>199.23</v>
      </c>
      <c r="K17" s="48">
        <v>0</v>
      </c>
      <c r="L17" s="48">
        <v>99.64</v>
      </c>
      <c r="M17" s="9">
        <v>80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9"/>
      <c r="Y17" s="54">
        <f t="shared" si="4"/>
        <v>80</v>
      </c>
      <c r="Z17" s="50">
        <f t="shared" si="5"/>
        <v>11444.189999999999</v>
      </c>
    </row>
    <row r="18" spans="1:26" ht="12" customHeight="1" thickBot="1">
      <c r="A18" s="39" t="s">
        <v>34</v>
      </c>
      <c r="B18" s="33" t="s">
        <v>69</v>
      </c>
      <c r="C18" s="48">
        <v>840.4</v>
      </c>
      <c r="D18" s="68">
        <v>4681.7</v>
      </c>
      <c r="E18" s="48">
        <v>4573.37</v>
      </c>
      <c r="F18" s="48">
        <v>0</v>
      </c>
      <c r="G18" s="48"/>
      <c r="H18" s="48">
        <v>0</v>
      </c>
      <c r="I18" s="48">
        <v>0</v>
      </c>
      <c r="J18" s="48">
        <v>9329.03</v>
      </c>
      <c r="K18" s="48">
        <v>6248.95</v>
      </c>
      <c r="L18" s="48">
        <v>0</v>
      </c>
      <c r="M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9"/>
      <c r="Y18" s="54">
        <f t="shared" si="4"/>
        <v>0</v>
      </c>
      <c r="Z18" s="50">
        <f t="shared" si="5"/>
        <v>25673.45</v>
      </c>
    </row>
    <row r="19" spans="1:26" ht="12" customHeight="1" thickBot="1">
      <c r="A19" s="39"/>
      <c r="B19" s="33" t="s">
        <v>70</v>
      </c>
      <c r="C19" s="48"/>
      <c r="D19" s="68"/>
      <c r="E19" s="48"/>
      <c r="F19" s="48"/>
      <c r="G19" s="48"/>
      <c r="H19" s="48"/>
      <c r="I19" s="48"/>
      <c r="J19" s="48">
        <v>605.37</v>
      </c>
      <c r="K19" s="48">
        <v>763.26</v>
      </c>
      <c r="L19" s="48">
        <v>772.62</v>
      </c>
      <c r="M19" s="9">
        <v>64.97</v>
      </c>
      <c r="N19" s="9">
        <v>64.97</v>
      </c>
      <c r="O19" s="9">
        <v>64.97</v>
      </c>
      <c r="P19" s="9">
        <v>64.97</v>
      </c>
      <c r="Q19" s="9">
        <v>64.97</v>
      </c>
      <c r="R19" s="9">
        <v>64.97</v>
      </c>
      <c r="S19" s="9">
        <v>67.61</v>
      </c>
      <c r="T19" s="9">
        <v>67.61</v>
      </c>
      <c r="U19" s="9">
        <v>67.61</v>
      </c>
      <c r="V19" s="9">
        <v>67.61</v>
      </c>
      <c r="W19" s="9">
        <v>67.61</v>
      </c>
      <c r="X19" s="9">
        <v>67.61</v>
      </c>
      <c r="Y19" s="54">
        <f>SUM(M19:X19)</f>
        <v>795.4800000000001</v>
      </c>
      <c r="Z19" s="50">
        <f>SUM(C19:X19)</f>
        <v>2936.7299999999996</v>
      </c>
    </row>
    <row r="20" spans="1:26" ht="12" customHeight="1" thickBot="1">
      <c r="A20" s="39"/>
      <c r="B20" s="33" t="s">
        <v>71</v>
      </c>
      <c r="C20" s="48"/>
      <c r="D20" s="68"/>
      <c r="E20" s="48"/>
      <c r="F20" s="48"/>
      <c r="G20" s="48"/>
      <c r="H20" s="48"/>
      <c r="I20" s="48"/>
      <c r="J20" s="48">
        <v>390.61</v>
      </c>
      <c r="K20" s="48">
        <v>674.82</v>
      </c>
      <c r="L20" s="48">
        <v>709.56</v>
      </c>
      <c r="M20" s="9">
        <v>62.84</v>
      </c>
      <c r="N20" s="9">
        <v>62.84</v>
      </c>
      <c r="O20" s="9">
        <v>62.84</v>
      </c>
      <c r="P20" s="9">
        <v>62.84</v>
      </c>
      <c r="Q20" s="9">
        <v>62.84</v>
      </c>
      <c r="R20" s="9">
        <v>62.84</v>
      </c>
      <c r="S20" s="9">
        <v>63.02</v>
      </c>
      <c r="T20" s="9">
        <v>63.02</v>
      </c>
      <c r="U20" s="9">
        <v>63.02</v>
      </c>
      <c r="V20" s="9">
        <v>63.02</v>
      </c>
      <c r="W20" s="9">
        <v>63.02</v>
      </c>
      <c r="X20" s="9">
        <v>63.02</v>
      </c>
      <c r="Y20" s="54">
        <f>SUM(M20:X20)</f>
        <v>755.16</v>
      </c>
      <c r="Z20" s="50">
        <f>SUM(C20:X20)</f>
        <v>2530.1499999999996</v>
      </c>
    </row>
    <row r="21" spans="1:26" ht="12" customHeight="1" thickBot="1">
      <c r="A21" s="39" t="s">
        <v>35</v>
      </c>
      <c r="B21" s="33" t="s">
        <v>72</v>
      </c>
      <c r="C21" s="48">
        <v>597.65</v>
      </c>
      <c r="D21" s="68">
        <v>396.28</v>
      </c>
      <c r="E21" s="48">
        <v>446.25</v>
      </c>
      <c r="F21" s="48">
        <v>415.53</v>
      </c>
      <c r="G21" s="48">
        <v>87.53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9"/>
      <c r="Y21" s="54">
        <f t="shared" si="4"/>
        <v>0</v>
      </c>
      <c r="Z21" s="50">
        <f t="shared" si="5"/>
        <v>1943.2399999999998</v>
      </c>
    </row>
    <row r="22" spans="1:26" ht="33" customHeight="1" thickBot="1">
      <c r="A22" s="39" t="s">
        <v>36</v>
      </c>
      <c r="B22" s="33" t="s">
        <v>61</v>
      </c>
      <c r="C22" s="48">
        <v>1728.65</v>
      </c>
      <c r="D22" s="68">
        <v>6160.4</v>
      </c>
      <c r="E22" s="48">
        <v>8313.79</v>
      </c>
      <c r="F22" s="48">
        <v>7663.89</v>
      </c>
      <c r="G22" s="48">
        <v>5149.24</v>
      </c>
      <c r="H22" s="48">
        <v>6072.36</v>
      </c>
      <c r="I22" s="48">
        <v>6415.62</v>
      </c>
      <c r="J22" s="48">
        <v>6513.66</v>
      </c>
      <c r="K22" s="48">
        <v>6839.91</v>
      </c>
      <c r="L22" s="48">
        <v>5535.7</v>
      </c>
      <c r="M22" s="9">
        <v>406.55</v>
      </c>
      <c r="N22" s="10">
        <v>364.44</v>
      </c>
      <c r="O22" s="10">
        <v>453.09</v>
      </c>
      <c r="P22" s="10">
        <v>354.21</v>
      </c>
      <c r="Q22" s="10">
        <v>366.5</v>
      </c>
      <c r="R22" s="10">
        <v>369.92</v>
      </c>
      <c r="S22" s="10">
        <v>427.84</v>
      </c>
      <c r="T22" s="10">
        <v>533.19</v>
      </c>
      <c r="U22" s="10">
        <v>511.64</v>
      </c>
      <c r="V22" s="10">
        <v>594.68</v>
      </c>
      <c r="W22" s="10">
        <v>553.08</v>
      </c>
      <c r="X22" s="19">
        <v>504.87</v>
      </c>
      <c r="Y22" s="54">
        <f t="shared" si="4"/>
        <v>5440.01</v>
      </c>
      <c r="Z22" s="50">
        <f t="shared" si="5"/>
        <v>65833.23</v>
      </c>
    </row>
    <row r="23" spans="1:26" ht="27.75" customHeight="1" thickBot="1">
      <c r="A23" s="39" t="s">
        <v>37</v>
      </c>
      <c r="B23" s="33" t="s">
        <v>62</v>
      </c>
      <c r="C23" s="48">
        <v>2842.1</v>
      </c>
      <c r="D23" s="68">
        <v>3353.82</v>
      </c>
      <c r="E23" s="48">
        <v>978.84</v>
      </c>
      <c r="F23" s="48">
        <v>690.86</v>
      </c>
      <c r="G23" s="48">
        <v>1499.73</v>
      </c>
      <c r="H23" s="48">
        <v>1002.77</v>
      </c>
      <c r="I23" s="48">
        <v>865.9</v>
      </c>
      <c r="J23" s="48">
        <v>676.75</v>
      </c>
      <c r="K23" s="48">
        <f>654.58-0.55</f>
        <v>654.0300000000001</v>
      </c>
      <c r="L23" s="48">
        <v>592.06</v>
      </c>
      <c r="M23" s="9">
        <v>21.98</v>
      </c>
      <c r="N23" s="10">
        <v>31.14</v>
      </c>
      <c r="O23" s="10">
        <v>29.83</v>
      </c>
      <c r="P23" s="10">
        <v>29.87</v>
      </c>
      <c r="Q23" s="10">
        <v>29.14</v>
      </c>
      <c r="R23" s="10">
        <v>25.45</v>
      </c>
      <c r="S23" s="10">
        <v>57.37</v>
      </c>
      <c r="T23" s="10">
        <v>29.72</v>
      </c>
      <c r="U23" s="10">
        <v>19.28</v>
      </c>
      <c r="V23" s="10">
        <v>53.7</v>
      </c>
      <c r="W23" s="10">
        <v>23.49</v>
      </c>
      <c r="X23" s="19">
        <v>62.72</v>
      </c>
      <c r="Y23" s="54">
        <f t="shared" si="4"/>
        <v>413.68999999999994</v>
      </c>
      <c r="Z23" s="50">
        <f t="shared" si="5"/>
        <v>13570.550000000001</v>
      </c>
    </row>
    <row r="24" spans="1:26" ht="35.25" customHeight="1" thickBot="1">
      <c r="A24" s="39" t="s">
        <v>38</v>
      </c>
      <c r="B24" s="33" t="s">
        <v>65</v>
      </c>
      <c r="C24" s="48">
        <v>1247.16</v>
      </c>
      <c r="D24" s="68">
        <v>5289.38</v>
      </c>
      <c r="E24" s="48">
        <v>5117.56</v>
      </c>
      <c r="F24" s="48">
        <v>6824.92</v>
      </c>
      <c r="G24" s="48">
        <v>5841.76</v>
      </c>
      <c r="H24" s="48">
        <v>7463.75</v>
      </c>
      <c r="I24" s="48">
        <v>6403.34</v>
      </c>
      <c r="J24" s="48">
        <v>6801.72</v>
      </c>
      <c r="K24" s="48">
        <v>7691.77</v>
      </c>
      <c r="L24" s="48">
        <v>8361.78</v>
      </c>
      <c r="M24" s="9">
        <f>16.61+218.74+356.69</f>
        <v>592.04</v>
      </c>
      <c r="N24" s="10">
        <f>17.23+256.96+382.67</f>
        <v>656.86</v>
      </c>
      <c r="O24" s="10">
        <f>16.43+231.8+392.29</f>
        <v>640.52</v>
      </c>
      <c r="P24" s="10">
        <f>20.4+272.67+366.24</f>
        <v>659.31</v>
      </c>
      <c r="Q24" s="10">
        <f>17.18+340.74+363.51</f>
        <v>721.4300000000001</v>
      </c>
      <c r="R24" s="10">
        <f>16.67+287.63+342.85</f>
        <v>647.1500000000001</v>
      </c>
      <c r="S24" s="10">
        <f>18.02+234.74+347.84</f>
        <v>600.6</v>
      </c>
      <c r="T24" s="10">
        <f>337.56+17.03+236.7</f>
        <v>591.29</v>
      </c>
      <c r="U24" s="10">
        <f>305.11+521.25</f>
        <v>826.36</v>
      </c>
      <c r="V24" s="10">
        <f>17.94+509.52+507.29</f>
        <v>1034.75</v>
      </c>
      <c r="W24" s="10">
        <f>19.73+409.2+488.36</f>
        <v>917.29</v>
      </c>
      <c r="X24" s="19">
        <f>22.27+568.53+448.09</f>
        <v>1038.8899999999999</v>
      </c>
      <c r="Y24" s="54">
        <f t="shared" si="4"/>
        <v>8926.49</v>
      </c>
      <c r="Z24" s="50">
        <f t="shared" si="5"/>
        <v>69969.62999999999</v>
      </c>
    </row>
    <row r="25" spans="1:26" ht="16.5" customHeight="1" thickBot="1">
      <c r="A25" s="39" t="s">
        <v>54</v>
      </c>
      <c r="B25" s="33" t="s">
        <v>7</v>
      </c>
      <c r="C25" s="43">
        <v>26940.41</v>
      </c>
      <c r="D25" s="69">
        <v>52084.73</v>
      </c>
      <c r="E25" s="43">
        <v>65425.58</v>
      </c>
      <c r="F25" s="43">
        <v>68585.02</v>
      </c>
      <c r="G25" s="43">
        <v>70398.3</v>
      </c>
      <c r="H25" s="43">
        <v>76811.94</v>
      </c>
      <c r="I25" s="43">
        <v>68027.88</v>
      </c>
      <c r="J25" s="43">
        <v>68347.22</v>
      </c>
      <c r="K25" s="43">
        <v>78749.66</v>
      </c>
      <c r="L25" s="43">
        <v>81728.29</v>
      </c>
      <c r="M25" s="9">
        <f>12351.24-3961.84</f>
        <v>8389.4</v>
      </c>
      <c r="N25" s="10">
        <f>20264.56-13619.38</f>
        <v>6645.180000000002</v>
      </c>
      <c r="O25" s="10">
        <f>11505.91-3708.09</f>
        <v>7797.82</v>
      </c>
      <c r="P25" s="10">
        <f>10939.51-3338.96</f>
        <v>7600.55</v>
      </c>
      <c r="Q25" s="10">
        <f>11139.58-3388.41</f>
        <v>7751.17</v>
      </c>
      <c r="R25" s="10">
        <f>11243.88-3466.1</f>
        <v>7777.779999999999</v>
      </c>
      <c r="S25" s="10">
        <f>10401.97-3633.13</f>
        <v>6768.839999999999</v>
      </c>
      <c r="T25" s="10">
        <f>11273.28-3560.22</f>
        <v>7713.060000000001</v>
      </c>
      <c r="U25" s="10">
        <f>12211.04-4296.59</f>
        <v>7914.450000000001</v>
      </c>
      <c r="V25" s="10">
        <f>13479.56-4387.75</f>
        <v>9091.81</v>
      </c>
      <c r="W25" s="10">
        <f>14133.33-4350.25</f>
        <v>9783.08</v>
      </c>
      <c r="X25" s="19">
        <f>20658.88-10588.31</f>
        <v>10070.570000000002</v>
      </c>
      <c r="Y25" s="54">
        <f t="shared" si="4"/>
        <v>97303.71</v>
      </c>
      <c r="Z25" s="50">
        <f t="shared" si="5"/>
        <v>754402.7400000001</v>
      </c>
    </row>
    <row r="26" spans="1:26" ht="15.75" customHeight="1" thickBot="1">
      <c r="A26" s="39" t="s">
        <v>55</v>
      </c>
      <c r="B26" s="34" t="s">
        <v>3</v>
      </c>
      <c r="C26" s="44">
        <v>3659.22</v>
      </c>
      <c r="D26" s="70">
        <v>8506.66</v>
      </c>
      <c r="E26" s="44">
        <v>17319.7</v>
      </c>
      <c r="F26" s="44">
        <v>20689.18</v>
      </c>
      <c r="G26" s="44">
        <v>22331.73</v>
      </c>
      <c r="H26" s="44">
        <v>24182.67</v>
      </c>
      <c r="I26" s="44">
        <v>24652.08</v>
      </c>
      <c r="J26" s="44">
        <v>27394.42</v>
      </c>
      <c r="K26" s="44">
        <v>26671.79</v>
      </c>
      <c r="L26" s="44">
        <v>27525.62</v>
      </c>
      <c r="M26" s="11">
        <f>2200.9+5.47+467.09</f>
        <v>2673.46</v>
      </c>
      <c r="N26" s="12">
        <f>1799.5+4.48+379.76</f>
        <v>2183.74</v>
      </c>
      <c r="O26" s="12">
        <f>2009.2+5+424.26</f>
        <v>2438.46</v>
      </c>
      <c r="P26" s="12">
        <f>1748.3+4.64+394.22</f>
        <v>2147.16</v>
      </c>
      <c r="Q26" s="12">
        <f>1739.2+4.33+367.01</f>
        <v>2110.54</v>
      </c>
      <c r="R26" s="12">
        <f>1826.3+4.45+380.74</f>
        <v>2211.49</v>
      </c>
      <c r="S26" s="12">
        <f>1959.6+4.87+412.73</f>
        <v>2377.2</v>
      </c>
      <c r="T26" s="12">
        <f>1805.1+4.4+365.01</f>
        <v>2174.51</v>
      </c>
      <c r="U26" s="12">
        <f>1910+4.7+391.3</f>
        <v>2306</v>
      </c>
      <c r="V26" s="12">
        <f>1866.7+4.58+380.67</f>
        <v>2251.95</v>
      </c>
      <c r="W26" s="12">
        <f>2259.7+5.53+457.66</f>
        <v>2722.89</v>
      </c>
      <c r="X26" s="21">
        <f>2256.4+5.53+458.76</f>
        <v>2720.6900000000005</v>
      </c>
      <c r="Y26" s="54">
        <f>SUM(M26:X26)</f>
        <v>28318.089999999997</v>
      </c>
      <c r="Z26" s="50">
        <f t="shared" si="5"/>
        <v>231251.16000000003</v>
      </c>
    </row>
    <row r="27" spans="1:26" ht="13.5" customHeight="1" thickBot="1">
      <c r="A27" s="39"/>
      <c r="B27" s="36" t="s">
        <v>59</v>
      </c>
      <c r="C27" s="45"/>
      <c r="D27" s="71"/>
      <c r="E27" s="45"/>
      <c r="F27" s="45"/>
      <c r="G27" s="72">
        <f>G8*5%</f>
        <v>6975.256</v>
      </c>
      <c r="H27" s="72">
        <f>H8*5%</f>
        <v>6974.382000000001</v>
      </c>
      <c r="I27" s="76">
        <f>I8*5%</f>
        <v>6968.1720000000005</v>
      </c>
      <c r="J27" s="76">
        <f>J8*5%</f>
        <v>6963.664000000001</v>
      </c>
      <c r="K27" s="76">
        <f>K8*5%</f>
        <v>6958.42</v>
      </c>
      <c r="L27" s="76">
        <f>(L8+L9)*5%</f>
        <v>6577.572</v>
      </c>
      <c r="M27" s="73">
        <f>(M8+M9)*5%</f>
        <v>548.32</v>
      </c>
      <c r="N27" s="72">
        <f aca="true" t="shared" si="6" ref="N27:X27">(N8+N9)*5%</f>
        <v>548.32</v>
      </c>
      <c r="O27" s="73">
        <f t="shared" si="6"/>
        <v>548.32</v>
      </c>
      <c r="P27" s="72">
        <f t="shared" si="6"/>
        <v>548.32</v>
      </c>
      <c r="Q27" s="73">
        <f t="shared" si="6"/>
        <v>548.32</v>
      </c>
      <c r="R27" s="72">
        <f t="shared" si="6"/>
        <v>548.32</v>
      </c>
      <c r="S27" s="73">
        <f t="shared" si="6"/>
        <v>548.464</v>
      </c>
      <c r="T27" s="72">
        <f t="shared" si="6"/>
        <v>548.464</v>
      </c>
      <c r="U27" s="73">
        <f t="shared" si="6"/>
        <v>548.464</v>
      </c>
      <c r="V27" s="72">
        <f t="shared" si="6"/>
        <v>548.464</v>
      </c>
      <c r="W27" s="73">
        <f t="shared" si="6"/>
        <v>548.464</v>
      </c>
      <c r="X27" s="72">
        <f t="shared" si="6"/>
        <v>548.464</v>
      </c>
      <c r="Y27" s="72">
        <f>SUM(M27:X27)</f>
        <v>6580.704000000001</v>
      </c>
      <c r="Z27" s="50"/>
    </row>
    <row r="28" spans="1:26" ht="15.75" customHeight="1" thickBot="1">
      <c r="A28" s="39" t="s">
        <v>39</v>
      </c>
      <c r="B28" s="36" t="s">
        <v>51</v>
      </c>
      <c r="C28" s="45"/>
      <c r="D28" s="71"/>
      <c r="E28" s="45"/>
      <c r="F28" s="45"/>
      <c r="G28" s="45"/>
      <c r="H28" s="45"/>
      <c r="I28" s="45"/>
      <c r="J28" s="72">
        <f>SUM(J8+J9-J11)-J27</f>
        <v>-6198.534000000025</v>
      </c>
      <c r="K28" s="72">
        <f>SUM(K8+K9-K11)-K27</f>
        <v>-19341.250000000015</v>
      </c>
      <c r="L28" s="72">
        <f>SUM(L8+L9-L11)-L27</f>
        <v>-11372.542000000001</v>
      </c>
      <c r="M28" s="74">
        <f>SUM(M8+M9+M10-M11)-M27</f>
        <v>-1533.1599999999985</v>
      </c>
      <c r="N28" s="72">
        <f aca="true" t="shared" si="7" ref="N28:X28">SUM(N8+N9+N10-N11)-N27</f>
        <v>-9446.479999999998</v>
      </c>
      <c r="O28" s="74">
        <f t="shared" si="7"/>
        <v>-687.8300000000003</v>
      </c>
      <c r="P28" s="72">
        <f t="shared" si="7"/>
        <v>-121.43000000000063</v>
      </c>
      <c r="Q28" s="74">
        <f t="shared" si="7"/>
        <v>-321.50000000000216</v>
      </c>
      <c r="R28" s="72">
        <f t="shared" si="7"/>
        <v>-425.7999999999996</v>
      </c>
      <c r="S28" s="74">
        <f t="shared" si="7"/>
        <v>418.84600000000125</v>
      </c>
      <c r="T28" s="72">
        <f t="shared" si="7"/>
        <v>-452.46400000000006</v>
      </c>
      <c r="U28" s="74">
        <f t="shared" si="7"/>
        <v>-1390.2240000000002</v>
      </c>
      <c r="V28" s="72">
        <f t="shared" si="7"/>
        <v>-2658.7440000000006</v>
      </c>
      <c r="W28" s="74">
        <f t="shared" si="7"/>
        <v>-3312.513999999999</v>
      </c>
      <c r="X28" s="72">
        <f t="shared" si="7"/>
        <v>-9838.064000000004</v>
      </c>
      <c r="Y28" s="72">
        <f>SUM(M28:X28)</f>
        <v>-29769.364</v>
      </c>
      <c r="Z28" s="50"/>
    </row>
    <row r="29" spans="1:26" s="83" customFormat="1" ht="21.75" customHeight="1" thickBot="1">
      <c r="A29" s="77" t="s">
        <v>40</v>
      </c>
      <c r="B29" s="84" t="s">
        <v>21</v>
      </c>
      <c r="C29" s="85">
        <v>22837.77</v>
      </c>
      <c r="D29" s="80">
        <f>SUM(D8-D11)</f>
        <v>17361.559999999998</v>
      </c>
      <c r="E29" s="79">
        <f>SUM(E8-E11)</f>
        <v>3383.470000000001</v>
      </c>
      <c r="F29" s="79">
        <f>SUM(F8-F11)</f>
        <v>-10590.190000000002</v>
      </c>
      <c r="G29" s="86">
        <f>SUM(G8-G11)-G27</f>
        <v>-19178.29600000001</v>
      </c>
      <c r="H29" s="86">
        <f>SUM(H8-H11)-H27</f>
        <v>-35422.35199999997</v>
      </c>
      <c r="I29" s="86">
        <f>SUM(I8-I11)-I27</f>
        <v>-19980.302000000003</v>
      </c>
      <c r="J29" s="86">
        <f>SUM(J8+J9-J11)-J27</f>
        <v>-6198.534000000025</v>
      </c>
      <c r="K29" s="86">
        <f>SUM(K8+K9-K11)-K27</f>
        <v>-19341.250000000015</v>
      </c>
      <c r="L29" s="86">
        <f>SUM(L8+L9-L11)-L27</f>
        <v>-11372.542000000001</v>
      </c>
      <c r="M29" s="87">
        <f>SUM(M8+M9+M10-M11)-M27</f>
        <v>-1533.1599999999985</v>
      </c>
      <c r="N29" s="86">
        <f>SUM(N28+M29)</f>
        <v>-10979.639999999996</v>
      </c>
      <c r="O29" s="87">
        <f aca="true" t="shared" si="8" ref="O29:X29">SUM(O28+N29)</f>
        <v>-11667.469999999996</v>
      </c>
      <c r="P29" s="86">
        <f t="shared" si="8"/>
        <v>-11788.899999999996</v>
      </c>
      <c r="Q29" s="87">
        <f t="shared" si="8"/>
        <v>-12110.399999999998</v>
      </c>
      <c r="R29" s="86">
        <f t="shared" si="8"/>
        <v>-12536.199999999997</v>
      </c>
      <c r="S29" s="87">
        <f t="shared" si="8"/>
        <v>-12117.353999999996</v>
      </c>
      <c r="T29" s="86">
        <f t="shared" si="8"/>
        <v>-12569.817999999996</v>
      </c>
      <c r="U29" s="87">
        <f t="shared" si="8"/>
        <v>-13960.041999999996</v>
      </c>
      <c r="V29" s="86">
        <f t="shared" si="8"/>
        <v>-16618.785999999996</v>
      </c>
      <c r="W29" s="87">
        <f t="shared" si="8"/>
        <v>-19931.299999999996</v>
      </c>
      <c r="X29" s="86">
        <f t="shared" si="8"/>
        <v>-29769.364</v>
      </c>
      <c r="Y29" s="79"/>
      <c r="Z29" s="88"/>
    </row>
    <row r="30" spans="1:26" ht="21" customHeight="1" thickBot="1">
      <c r="A30" s="39" t="s">
        <v>41</v>
      </c>
      <c r="B30" s="35" t="s">
        <v>22</v>
      </c>
      <c r="C30" s="41">
        <v>22837.77</v>
      </c>
      <c r="D30" s="20">
        <f>SUM(D8-D11,C30)</f>
        <v>40199.33</v>
      </c>
      <c r="E30" s="54">
        <f>SUM(E8-E11,D30)</f>
        <v>43582.8</v>
      </c>
      <c r="F30" s="54">
        <f>SUM(F8-F11,E30)</f>
        <v>32992.61</v>
      </c>
      <c r="G30" s="72">
        <f aca="true" t="shared" si="9" ref="G30:M30">SUM(G29+F30)</f>
        <v>13814.313999999991</v>
      </c>
      <c r="H30" s="72">
        <f t="shared" si="9"/>
        <v>-21608.03799999998</v>
      </c>
      <c r="I30" s="72">
        <f t="shared" si="9"/>
        <v>-41588.33999999998</v>
      </c>
      <c r="J30" s="72">
        <f t="shared" si="9"/>
        <v>-47786.87400000001</v>
      </c>
      <c r="K30" s="72">
        <f t="shared" si="9"/>
        <v>-67128.12400000003</v>
      </c>
      <c r="L30" s="72">
        <f t="shared" si="9"/>
        <v>-78500.66600000003</v>
      </c>
      <c r="M30" s="72">
        <f t="shared" si="9"/>
        <v>-80033.82600000003</v>
      </c>
      <c r="N30" s="72">
        <f>SUM(N28+M30)</f>
        <v>-89480.30600000003</v>
      </c>
      <c r="O30" s="74">
        <f aca="true" t="shared" si="10" ref="O30:W30">SUM(O28+N30)</f>
        <v>-90168.13600000003</v>
      </c>
      <c r="P30" s="72">
        <f t="shared" si="10"/>
        <v>-90289.56600000004</v>
      </c>
      <c r="Q30" s="74">
        <f t="shared" si="10"/>
        <v>-90611.06600000004</v>
      </c>
      <c r="R30" s="72">
        <f t="shared" si="10"/>
        <v>-91036.86600000004</v>
      </c>
      <c r="S30" s="74">
        <f t="shared" si="10"/>
        <v>-90618.02000000003</v>
      </c>
      <c r="T30" s="72">
        <f t="shared" si="10"/>
        <v>-91070.48400000004</v>
      </c>
      <c r="U30" s="74">
        <f t="shared" si="10"/>
        <v>-92460.70800000004</v>
      </c>
      <c r="V30" s="72">
        <f t="shared" si="10"/>
        <v>-95119.45200000005</v>
      </c>
      <c r="W30" s="74">
        <f t="shared" si="10"/>
        <v>-98431.96600000004</v>
      </c>
      <c r="X30" s="72">
        <f>SUM(X28+W30)</f>
        <v>-108270.03000000004</v>
      </c>
      <c r="Y30" s="54"/>
      <c r="Z30" s="62"/>
    </row>
    <row r="31" spans="1:26" ht="23.25" hidden="1" thickBot="1">
      <c r="A31" s="39" t="s">
        <v>42</v>
      </c>
      <c r="B31" s="35" t="s">
        <v>6</v>
      </c>
      <c r="C31" s="41"/>
      <c r="D31" s="41"/>
      <c r="E31" s="64"/>
      <c r="F31" s="64"/>
      <c r="G31" s="64"/>
      <c r="H31" s="64"/>
      <c r="I31" s="64"/>
      <c r="J31" s="64"/>
      <c r="K31" s="64"/>
      <c r="L31" s="64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2"/>
      <c r="Y31" s="54"/>
      <c r="Z31" s="51"/>
    </row>
    <row r="32" spans="1:26" ht="15" customHeight="1" hidden="1" thickBot="1">
      <c r="A32" s="40" t="s">
        <v>43</v>
      </c>
      <c r="B32" s="36" t="s">
        <v>23</v>
      </c>
      <c r="C32" s="45"/>
      <c r="D32" s="45"/>
      <c r="E32" s="63"/>
      <c r="F32" s="63"/>
      <c r="G32" s="63"/>
      <c r="H32" s="63"/>
      <c r="I32" s="63"/>
      <c r="J32" s="63"/>
      <c r="K32" s="63"/>
      <c r="L32" s="63"/>
      <c r="M32" s="1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23"/>
      <c r="Y32" s="55"/>
      <c r="Z32" s="51"/>
    </row>
    <row r="33" spans="1:26" ht="24" customHeight="1" hidden="1" thickBot="1">
      <c r="A33" s="40" t="s">
        <v>45</v>
      </c>
      <c r="B33" s="37" t="s">
        <v>46</v>
      </c>
      <c r="C33" s="46"/>
      <c r="D33" s="46"/>
      <c r="E33" s="65"/>
      <c r="F33" s="65"/>
      <c r="G33" s="65"/>
      <c r="H33" s="65"/>
      <c r="I33" s="65"/>
      <c r="J33" s="65"/>
      <c r="K33" s="65"/>
      <c r="L33" s="65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7">
        <f>SUM(X29-X31)</f>
        <v>-29769.364</v>
      </c>
      <c r="Y33" s="56"/>
      <c r="Z33" s="52"/>
    </row>
    <row r="34" spans="1:26" ht="24" customHeight="1" hidden="1" thickBot="1">
      <c r="A34" s="58" t="s">
        <v>50</v>
      </c>
      <c r="B34" s="37" t="s">
        <v>24</v>
      </c>
      <c r="C34" s="46"/>
      <c r="D34" s="46"/>
      <c r="E34" s="65"/>
      <c r="F34" s="65"/>
      <c r="G34" s="65"/>
      <c r="H34" s="65"/>
      <c r="I34" s="65"/>
      <c r="J34" s="65"/>
      <c r="K34" s="65"/>
      <c r="L34" s="65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7">
        <f>SUM(X30-X31)</f>
        <v>-108270.03000000004</v>
      </c>
      <c r="Y34" s="56"/>
      <c r="Z34" s="52"/>
    </row>
    <row r="35" spans="13:26" ht="11.25" customHeight="1" hidden="1"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</row>
    <row r="36" ht="12.75" hidden="1"/>
    <row r="37" ht="12.75" hidden="1"/>
    <row r="38" ht="12.75" hidden="1"/>
    <row r="39" ht="12.75">
      <c r="B39" t="s">
        <v>64</v>
      </c>
    </row>
    <row r="43" ht="12.75" customHeight="1"/>
    <row r="44" ht="12.75" customHeight="1"/>
  </sheetData>
  <sheetProtection/>
  <mergeCells count="5">
    <mergeCell ref="B4:Z4"/>
    <mergeCell ref="B5:Z5"/>
    <mergeCell ref="B3:Z3"/>
    <mergeCell ref="B1:O1"/>
    <mergeCell ref="B2:W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2021-02-04T11:16:51Z</cp:lastPrinted>
  <dcterms:created xsi:type="dcterms:W3CDTF">2011-06-16T11:06:26Z</dcterms:created>
  <dcterms:modified xsi:type="dcterms:W3CDTF">2021-02-24T10:45:30Z</dcterms:modified>
  <cp:category/>
  <cp:version/>
  <cp:contentType/>
  <cp:contentStatus/>
</cp:coreProperties>
</file>