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<sst xmlns="http://schemas.openxmlformats.org/spreadsheetml/2006/main" count="82" uniqueCount="80">
  <si>
    <t>СПРАВКА</t>
  </si>
  <si>
    <t xml:space="preserve">Начислено  </t>
  </si>
  <si>
    <t>Расходы</t>
  </si>
  <si>
    <t>Услуги РИРЦ</t>
  </si>
  <si>
    <t>Дератизация, дезинфекция</t>
  </si>
  <si>
    <t>Наименование</t>
  </si>
  <si>
    <t>Задолженность по неплательщикам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</si>
  <si>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</si>
  <si>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</si>
  <si>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</si>
  <si>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</si>
  <si>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</si>
  <si>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</si>
  <si>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</si>
  <si>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</si>
  <si>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</si>
  <si>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</si>
  <si>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</si>
  <si>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</si>
  <si>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</si>
  <si>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</si>
  <si>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</si>
  <si>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</si>
  <si>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</si>
  <si>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</si>
  <si>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</si>
  <si>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</si>
  <si>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</si>
  <si>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</si>
  <si>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</si>
  <si>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4.4</t>
  </si>
  <si>
    <t>4.5</t>
  </si>
  <si>
    <t>4.6</t>
  </si>
  <si>
    <t>4.8</t>
  </si>
  <si>
    <t>4.9</t>
  </si>
  <si>
    <t>4.10</t>
  </si>
  <si>
    <t>4.11</t>
  </si>
  <si>
    <t>5</t>
  </si>
  <si>
    <t>6</t>
  </si>
  <si>
    <t>7</t>
  </si>
  <si>
    <t>8</t>
  </si>
  <si>
    <t>9</t>
  </si>
  <si>
    <t>за 2009 г</t>
  </si>
  <si>
    <t>за 2010 г</t>
  </si>
  <si>
    <t>10</t>
  </si>
  <si>
    <t>Финансовый результат по дому с начала года</t>
  </si>
  <si>
    <t>Итого  за 2011 г</t>
  </si>
  <si>
    <t>Результат за месяц</t>
  </si>
  <si>
    <t>по жилому дому г. Унеча ул. Иванова д.1</t>
  </si>
  <si>
    <t>Благоустройство территории</t>
  </si>
  <si>
    <t>Итого  за 2012 г</t>
  </si>
  <si>
    <t>4.12</t>
  </si>
  <si>
    <t xml:space="preserve">Тех.обслуживание </t>
  </si>
  <si>
    <t>Итого  за 2013 г</t>
  </si>
  <si>
    <t>Итого  за 2014 г</t>
  </si>
  <si>
    <t>Тех.обслуживание газопровода</t>
  </si>
  <si>
    <t>рентабельность 5%</t>
  </si>
  <si>
    <t>Итого  за 2015 г</t>
  </si>
  <si>
    <t xml:space="preserve">Материалы </t>
  </si>
  <si>
    <t>Транспортные(ГСМ,зап.части,амортизация,страхование ит.д.)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</si>
  <si>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</si>
  <si>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</si>
  <si>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4.3</t>
  </si>
  <si>
    <t>Исполнитель  вед. экономист /Викторова  Л.С./</t>
  </si>
  <si>
    <t>Итого  за 2016 г</t>
  </si>
  <si>
    <t>4.7</t>
  </si>
  <si>
    <t>Проверка вент.каналов</t>
  </si>
  <si>
    <t>Итого  за 2017 г</t>
  </si>
  <si>
    <t>Начислено СОИД</t>
  </si>
  <si>
    <t>Электроэнергия  СОИД</t>
  </si>
  <si>
    <t>Холодная вода СОИД</t>
  </si>
  <si>
    <t>Канализация СОИД</t>
  </si>
  <si>
    <t>Итого  за 2018 г</t>
  </si>
  <si>
    <t>Итого  за 2019 г</t>
  </si>
  <si>
    <t>Дом по ул.Иванова  д.1 вступил в ООО "Наш дом" с декабря 2011 года       тариф 9,32 руб с января 2019 года тариф 8,7 руб.</t>
  </si>
  <si>
    <t>ООО "НД УНЕЧА"</t>
  </si>
  <si>
    <t>Итого  за 2020 г</t>
  </si>
  <si>
    <t>Всего за 2011-2020</t>
  </si>
  <si>
    <t>Утилизация</t>
  </si>
  <si>
    <t>Прочие доходы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</si>
</sst>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0" xfId="0" applyFont="1" applyFill="1" applyBorder="1" applyAlignment="1">
      <alignment/>
    </xf>
    <xf numFmtId="0" fontId="20" fillId="2" borderId="13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wrapText="1"/>
    </xf>
    <xf numFmtId="49" fontId="21" fillId="0" borderId="15" xfId="0" applyNumberFormat="1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21" fillId="0" borderId="17" xfId="0" applyFont="1" applyBorder="1" applyAlignment="1">
      <alignment wrapText="1"/>
    </xf>
    <xf numFmtId="0" fontId="21" fillId="0" borderId="18" xfId="0" applyFont="1" applyBorder="1" applyAlignment="1">
      <alignment wrapText="1"/>
    </xf>
    <xf numFmtId="0" fontId="21" fillId="2" borderId="18" xfId="0" applyFont="1" applyFill="1" applyBorder="1" applyAlignment="1">
      <alignment wrapText="1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23" fillId="0" borderId="22" xfId="0" applyFont="1" applyBorder="1" applyAlignment="1">
      <alignment horizontal="left" vertical="center" wrapText="1"/>
    </xf>
    <xf numFmtId="0" fontId="24" fillId="0" borderId="23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2" borderId="13" xfId="0" applyFont="1" applyFill="1" applyBorder="1" applyAlignment="1">
      <alignment wrapText="1"/>
    </xf>
    <xf numFmtId="0" fontId="23" fillId="0" borderId="24" xfId="0" applyFont="1" applyBorder="1" applyAlignment="1">
      <alignment horizontal="left" vertical="center" wrapText="1"/>
    </xf>
    <xf numFmtId="0" fontId="21" fillId="0" borderId="24" xfId="0" applyFont="1" applyBorder="1" applyAlignment="1">
      <alignment wrapText="1"/>
    </xf>
    <xf numFmtId="0" fontId="21" fillId="0" borderId="25" xfId="0" applyFont="1" applyBorder="1" applyAlignment="1">
      <alignment wrapText="1"/>
    </xf>
    <xf numFmtId="0" fontId="21" fillId="2" borderId="25" xfId="0" applyFont="1" applyFill="1" applyBorder="1" applyAlignment="1">
      <alignment wrapText="1"/>
    </xf>
    <xf numFmtId="2" fontId="21" fillId="0" borderId="23" xfId="0" applyNumberFormat="1" applyFont="1" applyBorder="1" applyAlignment="1">
      <alignment horizontal="right" wrapText="1"/>
    </xf>
    <xf numFmtId="2" fontId="21" fillId="0" borderId="26" xfId="0" applyNumberFormat="1" applyFont="1" applyBorder="1" applyAlignment="1">
      <alignment horizontal="right" wrapText="1"/>
    </xf>
    <xf numFmtId="2" fontId="21" fillId="0" borderId="27" xfId="0" applyNumberFormat="1" applyFont="1" applyBorder="1" applyAlignment="1">
      <alignment horizontal="right" wrapText="1"/>
    </xf>
    <xf numFmtId="2" fontId="21" fillId="0" borderId="20" xfId="0" applyNumberFormat="1" applyFont="1" applyBorder="1" applyAlignment="1">
      <alignment horizontal="right" wrapText="1"/>
    </xf>
    <xf numFmtId="2" fontId="21" fillId="0" borderId="28" xfId="0" applyNumberFormat="1" applyFont="1" applyBorder="1" applyAlignment="1">
      <alignment horizontal="right" wrapText="1"/>
    </xf>
    <xf numFmtId="2" fontId="21" fillId="0" borderId="21" xfId="0" applyNumberFormat="1" applyFont="1" applyBorder="1" applyAlignment="1">
      <alignment horizontal="right" wrapText="1"/>
    </xf>
    <xf numFmtId="2" fontId="25" fillId="0" borderId="24" xfId="0" applyNumberFormat="1" applyFont="1" applyBorder="1" applyAlignment="1">
      <alignment/>
    </xf>
    <xf numFmtId="0" fontId="23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/>
    </xf>
    <xf numFmtId="0" fontId="0" fillId="0" borderId="29" xfId="0" applyBorder="1" applyAlignment="1">
      <alignment/>
    </xf>
    <xf numFmtId="0" fontId="0" fillId="0" borderId="14" xfId="0" applyBorder="1" applyAlignment="1">
      <alignment/>
    </xf>
    <xf numFmtId="0" fontId="0" fillId="2" borderId="14" xfId="0" applyFill="1" applyBorder="1" applyAlignment="1">
      <alignment/>
    </xf>
    <xf numFmtId="0" fontId="19" fillId="0" borderId="24" xfId="0" applyFont="1" applyBorder="1" applyAlignment="1">
      <alignment horizontal="center" vertical="center" wrapText="1"/>
    </xf>
    <xf numFmtId="0" fontId="21" fillId="0" borderId="26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30" xfId="0" applyFont="1" applyBorder="1" applyAlignment="1">
      <alignment/>
    </xf>
    <xf numFmtId="0" fontId="20" fillId="2" borderId="25" xfId="0" applyFont="1" applyFill="1" applyBorder="1" applyAlignment="1">
      <alignment/>
    </xf>
    <xf numFmtId="0" fontId="25" fillId="0" borderId="19" xfId="0" applyFont="1" applyBorder="1" applyAlignment="1">
      <alignment/>
    </xf>
    <xf numFmtId="0" fontId="24" fillId="0" borderId="19" xfId="0" applyFont="1" applyBorder="1" applyAlignment="1">
      <alignment wrapText="1"/>
    </xf>
    <xf numFmtId="0" fontId="21" fillId="0" borderId="29" xfId="0" applyFont="1" applyBorder="1" applyAlignment="1">
      <alignment wrapText="1"/>
    </xf>
    <xf numFmtId="2" fontId="21" fillId="0" borderId="0" xfId="0" applyNumberFormat="1" applyFont="1" applyBorder="1" applyAlignment="1">
      <alignment horizontal="right" wrapText="1"/>
    </xf>
    <xf numFmtId="2" fontId="21" fillId="0" borderId="30" xfId="0" applyNumberFormat="1" applyFont="1" applyBorder="1" applyAlignment="1">
      <alignment horizontal="right" wrapText="1"/>
    </xf>
    <xf numFmtId="2" fontId="25" fillId="0" borderId="31" xfId="0" applyNumberFormat="1" applyFont="1" applyBorder="1" applyAlignment="1">
      <alignment/>
    </xf>
    <xf numFmtId="2" fontId="21" fillId="0" borderId="32" xfId="0" applyNumberFormat="1" applyFont="1" applyBorder="1" applyAlignment="1">
      <alignment horizontal="right" wrapText="1"/>
    </xf>
    <xf numFmtId="2" fontId="21" fillId="0" borderId="33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2" fontId="21" fillId="0" borderId="35" xfId="0" applyNumberFormat="1" applyFont="1" applyBorder="1" applyAlignment="1">
      <alignment horizontal="right" wrapText="1"/>
    </xf>
    <xf numFmtId="0" fontId="21" fillId="0" borderId="36" xfId="0" applyFont="1" applyBorder="1" applyAlignment="1">
      <alignment wrapText="1"/>
    </xf>
    <xf numFmtId="0" fontId="21" fillId="2" borderId="36" xfId="0" applyFont="1" applyFill="1" applyBorder="1" applyAlignment="1">
      <alignment wrapText="1"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25" xfId="0" applyFont="1" applyBorder="1" applyAlignment="1">
      <alignment/>
    </xf>
    <xf numFmtId="0" fontId="19" fillId="0" borderId="22" xfId="0" applyFont="1" applyBorder="1" applyAlignment="1">
      <alignment horizontal="center" vertical="center" wrapText="1"/>
    </xf>
    <xf numFmtId="0" fontId="21" fillId="0" borderId="27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8" xfId="0" applyFont="1" applyBorder="1" applyAlignment="1">
      <alignment/>
    </xf>
    <xf numFmtId="0" fontId="26" fillId="0" borderId="32" xfId="0" applyFont="1" applyBorder="1" applyAlignment="1">
      <alignment wrapText="1"/>
    </xf>
    <xf numFmtId="0" fontId="26" fillId="0" borderId="19" xfId="0" applyFont="1" applyBorder="1" applyAlignment="1">
      <alignment wrapText="1"/>
    </xf>
    <xf numFmtId="2" fontId="21" fillId="0" borderId="22" xfId="0" applyNumberFormat="1" applyFont="1" applyBorder="1" applyAlignment="1">
      <alignment horizontal="right" wrapText="1"/>
    </xf>
    <xf numFmtId="2" fontId="21" fillId="0" borderId="24" xfId="0" applyNumberFormat="1" applyFont="1" applyBorder="1" applyAlignment="1">
      <alignment horizontal="right" wrapText="1"/>
    </xf>
    <xf numFmtId="2" fontId="21" fillId="0" borderId="37" xfId="0" applyNumberFormat="1" applyFont="1" applyBorder="1" applyAlignment="1">
      <alignment horizontal="right" wrapText="1"/>
    </xf>
    <xf numFmtId="2" fontId="21" fillId="0" borderId="24" xfId="0" applyNumberFormat="1" applyFont="1" applyBorder="1" applyAlignment="1">
      <alignment/>
    </xf>
    <xf numFmtId="2" fontId="21" fillId="0" borderId="38" xfId="0" applyNumberFormat="1" applyFont="1" applyBorder="1" applyAlignment="1">
      <alignment/>
    </xf>
    <xf numFmtId="2" fontId="21" fillId="0" borderId="39" xfId="0" applyNumberFormat="1" applyFont="1" applyBorder="1" applyAlignment="1">
      <alignment horizontal="right" wrapText="1"/>
    </xf>
    <xf numFmtId="0" fontId="21" fillId="0" borderId="39" xfId="0" applyFont="1" applyBorder="1" applyAlignment="1">
      <alignment/>
    </xf>
    <xf numFmtId="0" fontId="24" fillId="0" borderId="26" xfId="0" applyFont="1" applyBorder="1" applyAlignment="1">
      <alignment wrapText="1"/>
    </xf>
    <xf numFmtId="0" fontId="26" fillId="0" borderId="26" xfId="0" applyFont="1" applyBorder="1" applyAlignment="1">
      <alignment wrapText="1"/>
    </xf>
    <xf numFmtId="49" fontId="22" fillId="0" borderId="20" xfId="0" applyNumberFormat="1" applyFont="1" applyBorder="1" applyAlignment="1">
      <alignment horizontal="center"/>
    </xf>
    <xf numFmtId="0" fontId="19" fillId="0" borderId="14" xfId="0" applyFont="1" applyBorder="1" applyAlignment="1">
      <alignment wrapText="1"/>
    </xf>
    <xf numFmtId="0" fontId="27" fillId="0" borderId="22" xfId="0" applyFont="1" applyBorder="1" applyAlignment="1">
      <alignment/>
    </xf>
    <xf numFmtId="0" fontId="27" fillId="0" borderId="24" xfId="0" applyFont="1" applyBorder="1" applyAlignment="1">
      <alignment/>
    </xf>
    <xf numFmtId="2" fontId="28" fillId="0" borderId="24" xfId="0" applyNumberFormat="1" applyFont="1" applyBorder="1" applyAlignment="1">
      <alignment/>
    </xf>
    <xf numFmtId="0" fontId="22" fillId="0" borderId="0" xfId="0" applyFont="1" applyAlignment="1">
      <alignment/>
    </xf>
    <xf numFmtId="0" fontId="22" fillId="0" borderId="31" xfId="0" applyFont="1" applyBorder="1" applyAlignment="1">
      <alignment/>
    </xf>
    <xf numFmtId="0" fontId="21" fillId="0" borderId="40" xfId="0" applyFont="1" applyBorder="1" applyAlignment="1">
      <alignment/>
    </xf>
    <xf numFmtId="0" fontId="21" fillId="0" borderId="41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42" xfId="0" applyFont="1" applyBorder="1" applyAlignment="1">
      <alignment/>
    </xf>
    <xf numFmtId="49" fontId="0" fillId="0" borderId="39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2" fontId="21" fillId="0" borderId="25" xfId="0" applyNumberFormat="1" applyFont="1" applyBorder="1" applyAlignment="1">
      <alignment/>
    </xf>
    <xf numFmtId="49" fontId="22" fillId="0" borderId="24" xfId="0" applyNumberFormat="1" applyFont="1" applyBorder="1" applyAlignment="1">
      <alignment horizontal="center"/>
    </xf>
    <xf numFmtId="0" fontId="27" fillId="0" borderId="14" xfId="0" applyFont="1" applyBorder="1" applyAlignment="1">
      <alignment wrapText="1"/>
    </xf>
    <xf numFmtId="0" fontId="27" fillId="0" borderId="22" xfId="0" applyFont="1" applyBorder="1" applyAlignment="1">
      <alignment wrapText="1"/>
    </xf>
    <xf numFmtId="0" fontId="27" fillId="0" borderId="24" xfId="0" applyFont="1" applyBorder="1" applyAlignment="1">
      <alignment wrapText="1"/>
    </xf>
    <xf numFmtId="0" fontId="27" fillId="0" borderId="43" xfId="0" applyFont="1" applyBorder="1" applyAlignment="1">
      <alignment/>
    </xf>
    <xf numFmtId="2" fontId="27" fillId="0" borderId="24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1" max="1" width="3.625" style="13" customWidth="1"/>
    <col min="2" max="2" width="23.00390625" style="0" customWidth="1"/>
    <col min="3" max="3" width="10.125" style="0" hidden="1" customWidth="1"/>
    <col min="4" max="4" width="9.625" style="0" hidden="1" customWidth="1"/>
    <col min="5" max="5" width="7.875" style="0" hidden="1" customWidth="1"/>
    <col min="6" max="6" width="9.375" style="0" hidden="1" customWidth="1"/>
    <col min="7" max="7" width="8.75390625" style="0" hidden="1" customWidth="1"/>
    <col min="8" max="8" width="10.00390625" style="0" hidden="1" customWidth="1"/>
    <col min="9" max="9" width="8.375" style="0" hidden="1" customWidth="1"/>
    <col min="10" max="11" width="9.00390625" style="0" hidden="1" customWidth="1"/>
    <col min="12" max="13" width="9.25390625" style="0" hidden="1" customWidth="1"/>
    <col min="14" max="15" width="9.00390625" style="0" customWidth="1"/>
    <col min="16" max="18" width="8.75390625" style="0" customWidth="1"/>
    <col min="19" max="19" width="8.125" style="0" customWidth="1"/>
    <col min="20" max="20" width="7.875" style="0" customWidth="1"/>
    <col min="21" max="21" width="8.375" style="0" customWidth="1"/>
    <col min="22" max="22" width="7.875" style="0" customWidth="1"/>
    <col min="23" max="23" width="7.75390625" style="0" customWidth="1"/>
    <col min="24" max="24" width="8.00390625" style="0" customWidth="1"/>
    <col min="25" max="25" width="7.75390625" style="0" customWidth="1"/>
    <col min="26" max="26" width="8.75390625" style="0" customWidth="1"/>
    <col min="27" max="27" width="10.25390625" style="0" hidden="1" customWidth="1"/>
  </cols>
  <sheetData>
    <row r="1" spans="2:32" ht="12.75" customHeight="1">
      <c r="B1" s="102" t="s">
        <v>75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2:32" ht="12.75" customHeight="1">
      <c r="B2" s="102" t="s">
        <v>74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3"/>
      <c r="Y2" s="103"/>
      <c r="Z2" s="103"/>
      <c r="AA2" s="4"/>
      <c r="AB2" s="4"/>
      <c r="AC2" s="4"/>
      <c r="AD2" s="4"/>
      <c r="AE2" s="4"/>
      <c r="AF2" s="4"/>
    </row>
    <row r="3" spans="2:32" ht="12.75" customHeight="1">
      <c r="B3" s="101" t="s">
        <v>0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3"/>
      <c r="AC3" s="3"/>
      <c r="AD3" s="3"/>
      <c r="AE3" s="3"/>
      <c r="AF3" s="3"/>
    </row>
    <row r="4" spans="2:32" ht="15" customHeight="1">
      <c r="B4" s="100" t="s">
        <v>8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2"/>
      <c r="AC4" s="2"/>
      <c r="AD4" s="2"/>
      <c r="AE4" s="2"/>
      <c r="AF4" s="2"/>
    </row>
    <row r="5" spans="2:32" ht="16.5" customHeight="1" thickBot="1">
      <c r="B5" s="100" t="s">
        <v>48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2"/>
      <c r="AC5" s="2"/>
      <c r="AD5" s="2"/>
      <c r="AE5" s="2"/>
      <c r="AF5" s="2"/>
    </row>
    <row r="6" spans="1:32" ht="30" customHeight="1" thickBot="1">
      <c r="A6" s="21" t="s">
        <v>25</v>
      </c>
      <c r="B6" s="14" t="s">
        <v>5</v>
      </c>
      <c r="C6" s="24" t="s">
        <v>42</v>
      </c>
      <c r="D6" s="28" t="s">
        <v>43</v>
      </c>
      <c r="E6" s="44" t="s">
        <v>46</v>
      </c>
      <c r="F6" s="44" t="s">
        <v>50</v>
      </c>
      <c r="G6" s="44" t="s">
        <v>53</v>
      </c>
      <c r="H6" s="44" t="s">
        <v>54</v>
      </c>
      <c r="I6" s="44" t="s">
        <v>57</v>
      </c>
      <c r="J6" s="44" t="s">
        <v>64</v>
      </c>
      <c r="K6" s="44" t="s">
        <v>67</v>
      </c>
      <c r="L6" s="44" t="s">
        <v>72</v>
      </c>
      <c r="M6" s="44" t="s">
        <v>73</v>
      </c>
      <c r="N6" s="44" t="s">
        <v>9</v>
      </c>
      <c r="O6" s="65" t="s">
        <v>10</v>
      </c>
      <c r="P6" s="44" t="s">
        <v>11</v>
      </c>
      <c r="Q6" s="65" t="s">
        <v>12</v>
      </c>
      <c r="R6" s="44" t="s">
        <v>13</v>
      </c>
      <c r="S6" s="44" t="s">
        <v>14</v>
      </c>
      <c r="T6" s="65" t="s">
        <v>15</v>
      </c>
      <c r="U6" s="44" t="s">
        <v>16</v>
      </c>
      <c r="V6" s="65" t="s">
        <v>17</v>
      </c>
      <c r="W6" s="44" t="s">
        <v>18</v>
      </c>
      <c r="X6" s="65" t="s">
        <v>20</v>
      </c>
      <c r="Y6" s="44" t="s">
        <v>19</v>
      </c>
      <c r="Z6" s="44" t="s">
        <v>76</v>
      </c>
      <c r="AA6" s="39" t="s">
        <v>77</v>
      </c>
      <c r="AB6" s="1"/>
      <c r="AC6" s="1"/>
      <c r="AD6" s="1"/>
      <c r="AE6" s="1"/>
      <c r="AF6" s="1"/>
    </row>
    <row r="7" spans="1:27" ht="13.5" thickBot="1">
      <c r="A7" s="22" t="s">
        <v>26</v>
      </c>
      <c r="B7" s="15" t="s">
        <v>1</v>
      </c>
      <c r="C7" s="25"/>
      <c r="D7" s="50"/>
      <c r="E7" s="69">
        <v>5266.62</v>
      </c>
      <c r="F7" s="70">
        <v>63230.84</v>
      </c>
      <c r="G7" s="70">
        <v>63277.44</v>
      </c>
      <c r="H7" s="70">
        <v>63277.44</v>
      </c>
      <c r="I7" s="70">
        <v>63277.4</v>
      </c>
      <c r="J7" s="70">
        <v>63268.01</v>
      </c>
      <c r="K7" s="70">
        <v>57981.68</v>
      </c>
      <c r="L7" s="70">
        <v>58000.32</v>
      </c>
      <c r="M7" s="70">
        <v>54141.96</v>
      </c>
      <c r="N7" s="61">
        <v>4511.83</v>
      </c>
      <c r="O7" s="61">
        <v>4511.83</v>
      </c>
      <c r="P7" s="61">
        <v>4511.83</v>
      </c>
      <c r="Q7" s="61">
        <v>4511.83</v>
      </c>
      <c r="R7" s="61">
        <v>4511.83</v>
      </c>
      <c r="S7" s="61">
        <v>4511.83</v>
      </c>
      <c r="T7" s="87">
        <v>4511.83</v>
      </c>
      <c r="U7" s="61">
        <v>4511.83</v>
      </c>
      <c r="V7" s="90">
        <v>4511.83</v>
      </c>
      <c r="W7" s="61">
        <v>4511.83</v>
      </c>
      <c r="X7" s="88">
        <v>4511.83</v>
      </c>
      <c r="Y7" s="88">
        <v>4511.83</v>
      </c>
      <c r="Z7" s="45">
        <f>SUM(N7:Y7)</f>
        <v>54141.960000000014</v>
      </c>
      <c r="AA7" s="49">
        <f aca="true" t="shared" si="0" ref="AA7:AA13">SUM(C7:Y7)</f>
        <v>545863.6699999999</v>
      </c>
    </row>
    <row r="8" spans="1:27" ht="13.5" thickBot="1">
      <c r="A8" s="22"/>
      <c r="B8" s="15" t="s">
        <v>68</v>
      </c>
      <c r="C8" s="25"/>
      <c r="D8" s="78"/>
      <c r="E8" s="69"/>
      <c r="F8" s="79"/>
      <c r="G8" s="79"/>
      <c r="H8" s="79"/>
      <c r="I8" s="79"/>
      <c r="J8" s="79">
        <v>0</v>
      </c>
      <c r="K8" s="79">
        <v>7451.44</v>
      </c>
      <c r="L8" s="79">
        <v>5858.28</v>
      </c>
      <c r="M8" s="79">
        <v>907.86</v>
      </c>
      <c r="N8" s="45">
        <f aca="true" t="shared" si="1" ref="N8:S8">39.62+38.34</f>
        <v>77.96000000000001</v>
      </c>
      <c r="O8" s="45">
        <f t="shared" si="1"/>
        <v>77.96000000000001</v>
      </c>
      <c r="P8" s="45">
        <f t="shared" si="1"/>
        <v>77.96000000000001</v>
      </c>
      <c r="Q8" s="45">
        <f t="shared" si="1"/>
        <v>77.96000000000001</v>
      </c>
      <c r="R8" s="45">
        <f t="shared" si="1"/>
        <v>77.96000000000001</v>
      </c>
      <c r="S8" s="45">
        <f t="shared" si="1"/>
        <v>77.96000000000001</v>
      </c>
      <c r="T8" s="67">
        <f aca="true" t="shared" si="2" ref="T8:Y8">41.25+38.44</f>
        <v>79.69</v>
      </c>
      <c r="U8" s="45">
        <f t="shared" si="2"/>
        <v>79.69</v>
      </c>
      <c r="V8" s="67">
        <f t="shared" si="2"/>
        <v>79.69</v>
      </c>
      <c r="W8" s="45">
        <f t="shared" si="2"/>
        <v>79.69</v>
      </c>
      <c r="X8" s="89">
        <f t="shared" si="2"/>
        <v>79.69</v>
      </c>
      <c r="Y8" s="89">
        <f t="shared" si="2"/>
        <v>79.69</v>
      </c>
      <c r="Z8" s="45">
        <f>SUM(N8:Y8)</f>
        <v>945.9000000000003</v>
      </c>
      <c r="AA8" s="49">
        <f t="shared" si="0"/>
        <v>15163.479999999998</v>
      </c>
    </row>
    <row r="9" spans="1:27" ht="13.5" thickBot="1">
      <c r="A9" s="22"/>
      <c r="B9" s="15" t="s">
        <v>79</v>
      </c>
      <c r="C9" s="25"/>
      <c r="D9" s="78"/>
      <c r="E9" s="69"/>
      <c r="F9" s="79"/>
      <c r="G9" s="79"/>
      <c r="H9" s="79"/>
      <c r="I9" s="79"/>
      <c r="J9" s="79">
        <v>0</v>
      </c>
      <c r="K9" s="79">
        <v>5955.12</v>
      </c>
      <c r="L9" s="79">
        <v>6172.56</v>
      </c>
      <c r="M9" s="79">
        <v>5930.04</v>
      </c>
      <c r="N9" s="45">
        <f aca="true" t="shared" si="3" ref="N9:S9">495.38+400</f>
        <v>895.38</v>
      </c>
      <c r="O9" s="45">
        <f t="shared" si="3"/>
        <v>895.38</v>
      </c>
      <c r="P9" s="45">
        <f t="shared" si="3"/>
        <v>895.38</v>
      </c>
      <c r="Q9" s="45">
        <f t="shared" si="3"/>
        <v>895.38</v>
      </c>
      <c r="R9" s="45">
        <f t="shared" si="3"/>
        <v>895.38</v>
      </c>
      <c r="S9" s="45">
        <f t="shared" si="3"/>
        <v>895.38</v>
      </c>
      <c r="T9" s="67">
        <f aca="true" t="shared" si="4" ref="T9:Y9">499.63+400</f>
        <v>899.63</v>
      </c>
      <c r="U9" s="64">
        <f t="shared" si="4"/>
        <v>899.63</v>
      </c>
      <c r="V9" s="67">
        <f t="shared" si="4"/>
        <v>899.63</v>
      </c>
      <c r="W9" s="64">
        <f t="shared" si="4"/>
        <v>899.63</v>
      </c>
      <c r="X9" s="67">
        <f t="shared" si="4"/>
        <v>899.63</v>
      </c>
      <c r="Y9" s="67">
        <f t="shared" si="4"/>
        <v>899.63</v>
      </c>
      <c r="Z9" s="45">
        <f>SUM(N9:Y9)</f>
        <v>10770.059999999998</v>
      </c>
      <c r="AA9" s="49">
        <f t="shared" si="0"/>
        <v>28827.780000000013</v>
      </c>
    </row>
    <row r="10" spans="1:27" s="85" customFormat="1" ht="13.5" thickBot="1">
      <c r="A10" s="80" t="s">
        <v>27</v>
      </c>
      <c r="B10" s="81" t="s">
        <v>2</v>
      </c>
      <c r="C10" s="82"/>
      <c r="D10" s="83"/>
      <c r="E10" s="82">
        <f aca="true" t="shared" si="5" ref="E10:O10">SUM(E11:E25)</f>
        <v>3784.71</v>
      </c>
      <c r="F10" s="83">
        <f t="shared" si="5"/>
        <v>61135.57</v>
      </c>
      <c r="G10" s="83">
        <f t="shared" si="5"/>
        <v>55198.12999999999</v>
      </c>
      <c r="H10" s="83">
        <f t="shared" si="5"/>
        <v>52920.5</v>
      </c>
      <c r="I10" s="83">
        <f>SUM(I11:I25)</f>
        <v>53804.19</v>
      </c>
      <c r="J10" s="83">
        <f>SUM(J11:J25)</f>
        <v>63851.130000000005</v>
      </c>
      <c r="K10" s="83">
        <f>SUM(K11:K25)</f>
        <v>66040.73999999999</v>
      </c>
      <c r="L10" s="83">
        <f t="shared" si="5"/>
        <v>62141.07</v>
      </c>
      <c r="M10" s="83">
        <f t="shared" si="5"/>
        <v>51284.58</v>
      </c>
      <c r="N10" s="83">
        <f t="shared" si="5"/>
        <v>4200.47</v>
      </c>
      <c r="O10" s="82">
        <f t="shared" si="5"/>
        <v>3825.99</v>
      </c>
      <c r="P10" s="83">
        <f aca="true" t="shared" si="6" ref="P10:X10">SUM(P11:P25)</f>
        <v>3934.31</v>
      </c>
      <c r="Q10" s="82">
        <f t="shared" si="6"/>
        <v>3813.36</v>
      </c>
      <c r="R10" s="83">
        <f t="shared" si="6"/>
        <v>3897.1</v>
      </c>
      <c r="S10" s="83">
        <f t="shared" si="6"/>
        <v>7412.699999999999</v>
      </c>
      <c r="T10" s="82">
        <f t="shared" si="6"/>
        <v>4334.31</v>
      </c>
      <c r="U10" s="83">
        <f t="shared" si="6"/>
        <v>4326.11</v>
      </c>
      <c r="V10" s="82">
        <f t="shared" si="6"/>
        <v>4630.14</v>
      </c>
      <c r="W10" s="83">
        <f t="shared" si="6"/>
        <v>4746</v>
      </c>
      <c r="X10" s="82">
        <f t="shared" si="6"/>
        <v>7358.39</v>
      </c>
      <c r="Y10" s="83">
        <f>SUM(Y11:Y25)</f>
        <v>5058.420000000001</v>
      </c>
      <c r="Z10" s="83">
        <f>SUM(N10:Y10)</f>
        <v>57537.299999999996</v>
      </c>
      <c r="AA10" s="84">
        <f t="shared" si="0"/>
        <v>527697.9199999999</v>
      </c>
    </row>
    <row r="11" spans="1:27" ht="12" customHeight="1" thickBot="1">
      <c r="A11" s="22" t="s">
        <v>28</v>
      </c>
      <c r="B11" s="16" t="s">
        <v>78</v>
      </c>
      <c r="C11" s="32"/>
      <c r="D11" s="33"/>
      <c r="E11" s="55">
        <v>806.2</v>
      </c>
      <c r="F11" s="33">
        <v>10094.57</v>
      </c>
      <c r="G11" s="33">
        <v>11419.66</v>
      </c>
      <c r="H11" s="33">
        <v>11418.08</v>
      </c>
      <c r="I11" s="33">
        <v>9755.52</v>
      </c>
      <c r="J11" s="33">
        <v>9339.48</v>
      </c>
      <c r="K11" s="33">
        <v>9381.98</v>
      </c>
      <c r="L11" s="33">
        <v>9346.44</v>
      </c>
      <c r="M11" s="33">
        <v>97.96</v>
      </c>
      <c r="N11" s="45"/>
      <c r="O11" s="67">
        <v>6.08</v>
      </c>
      <c r="P11" s="45">
        <v>7.07</v>
      </c>
      <c r="Q11" s="67">
        <v>7.92</v>
      </c>
      <c r="R11" s="45">
        <v>12.69</v>
      </c>
      <c r="S11" s="45">
        <v>9.34</v>
      </c>
      <c r="T11" s="67">
        <v>14.81</v>
      </c>
      <c r="U11" s="45">
        <v>15.33</v>
      </c>
      <c r="V11" s="67">
        <v>36.4</v>
      </c>
      <c r="W11" s="45">
        <v>15.61</v>
      </c>
      <c r="X11" s="67">
        <v>1.16</v>
      </c>
      <c r="Y11" s="45">
        <v>1.44</v>
      </c>
      <c r="Z11" s="46">
        <f aca="true" t="shared" si="7" ref="Z11:Z27">SUM(N11:Y11)</f>
        <v>127.84999999999998</v>
      </c>
      <c r="AA11" s="38">
        <f t="shared" si="0"/>
        <v>71787.74</v>
      </c>
    </row>
    <row r="12" spans="1:27" ht="15.75" customHeight="1" thickBot="1">
      <c r="A12" s="22" t="s">
        <v>29</v>
      </c>
      <c r="B12" s="17" t="s">
        <v>52</v>
      </c>
      <c r="C12" s="34"/>
      <c r="D12" s="35"/>
      <c r="E12" s="56">
        <v>0</v>
      </c>
      <c r="F12" s="35">
        <v>4883.33</v>
      </c>
      <c r="G12" s="35">
        <v>7.97</v>
      </c>
      <c r="H12" s="35"/>
      <c r="I12" s="35">
        <v>883.3</v>
      </c>
      <c r="J12" s="35">
        <v>24.16</v>
      </c>
      <c r="K12" s="35">
        <v>0</v>
      </c>
      <c r="L12" s="35">
        <v>235.84</v>
      </c>
      <c r="M12" s="35">
        <v>1800</v>
      </c>
      <c r="N12" s="62"/>
      <c r="O12" s="66"/>
      <c r="P12" s="62"/>
      <c r="Q12" s="66"/>
      <c r="R12" s="62"/>
      <c r="S12" s="62"/>
      <c r="T12" s="66"/>
      <c r="U12" s="62"/>
      <c r="V12" s="66"/>
      <c r="W12" s="62"/>
      <c r="X12" s="66"/>
      <c r="Y12" s="62"/>
      <c r="Z12" s="46">
        <f t="shared" si="7"/>
        <v>0</v>
      </c>
      <c r="AA12" s="38">
        <f t="shared" si="0"/>
        <v>7834.6</v>
      </c>
    </row>
    <row r="13" spans="1:27" ht="21" customHeight="1" thickBot="1">
      <c r="A13" s="22" t="s">
        <v>62</v>
      </c>
      <c r="B13" s="17" t="s">
        <v>55</v>
      </c>
      <c r="C13" s="34"/>
      <c r="D13" s="35"/>
      <c r="E13" s="56"/>
      <c r="F13" s="35"/>
      <c r="G13" s="35"/>
      <c r="H13" s="35">
        <v>1985.4</v>
      </c>
      <c r="I13" s="35">
        <v>0</v>
      </c>
      <c r="J13" s="35">
        <v>0</v>
      </c>
      <c r="K13" s="35">
        <v>2141.5</v>
      </c>
      <c r="L13" s="35">
        <v>2466.95</v>
      </c>
      <c r="M13" s="35">
        <v>3222.4</v>
      </c>
      <c r="N13" s="62"/>
      <c r="O13" s="66"/>
      <c r="P13" s="62"/>
      <c r="Q13" s="66"/>
      <c r="R13" s="62"/>
      <c r="S13" s="62">
        <v>3379.8</v>
      </c>
      <c r="T13" s="66"/>
      <c r="U13" s="62"/>
      <c r="V13" s="66"/>
      <c r="W13" s="62"/>
      <c r="X13" s="66"/>
      <c r="Y13" s="62"/>
      <c r="Z13" s="46">
        <f>SUM(N13:Y13)</f>
        <v>3379.8</v>
      </c>
      <c r="AA13" s="38">
        <f t="shared" si="0"/>
        <v>13196.05</v>
      </c>
    </row>
    <row r="14" spans="1:27" ht="13.5" customHeight="1" thickBot="1">
      <c r="A14" s="22" t="s">
        <v>30</v>
      </c>
      <c r="B14" s="17" t="s">
        <v>58</v>
      </c>
      <c r="C14" s="34"/>
      <c r="D14" s="35"/>
      <c r="E14" s="56">
        <v>0</v>
      </c>
      <c r="F14" s="35">
        <v>8736.66</v>
      </c>
      <c r="G14" s="35">
        <v>5101.07</v>
      </c>
      <c r="H14" s="35">
        <v>3044.65</v>
      </c>
      <c r="I14" s="35">
        <v>2082.51</v>
      </c>
      <c r="J14" s="35">
        <v>13098.25</v>
      </c>
      <c r="K14" s="35">
        <v>6356.9</v>
      </c>
      <c r="L14" s="35">
        <v>1998.18</v>
      </c>
      <c r="M14" s="35">
        <v>660</v>
      </c>
      <c r="N14" s="62"/>
      <c r="O14" s="66"/>
      <c r="P14" s="62"/>
      <c r="Q14" s="66"/>
      <c r="R14" s="62"/>
      <c r="S14" s="62">
        <v>145.65</v>
      </c>
      <c r="T14" s="66"/>
      <c r="U14" s="62"/>
      <c r="V14" s="66"/>
      <c r="W14" s="62">
        <v>45</v>
      </c>
      <c r="X14" s="66">
        <v>1973.5</v>
      </c>
      <c r="Y14" s="62"/>
      <c r="Z14" s="46">
        <f t="shared" si="7"/>
        <v>2164.15</v>
      </c>
      <c r="AA14" s="38">
        <f aca="true" t="shared" si="8" ref="AA14:AA25">SUM(C14:Y14)</f>
        <v>43242.37</v>
      </c>
    </row>
    <row r="15" spans="1:27" ht="14.25" customHeight="1" thickBot="1">
      <c r="A15" s="22" t="s">
        <v>31</v>
      </c>
      <c r="B15" s="17" t="s">
        <v>49</v>
      </c>
      <c r="C15" s="34"/>
      <c r="D15" s="35"/>
      <c r="E15" s="56">
        <v>0</v>
      </c>
      <c r="F15" s="35">
        <v>256</v>
      </c>
      <c r="G15" s="35">
        <v>0</v>
      </c>
      <c r="H15" s="35">
        <v>7.76</v>
      </c>
      <c r="I15" s="35">
        <v>0</v>
      </c>
      <c r="J15" s="35">
        <v>186</v>
      </c>
      <c r="K15" s="35">
        <v>8</v>
      </c>
      <c r="L15" s="35">
        <v>92</v>
      </c>
      <c r="M15" s="35">
        <v>41.38</v>
      </c>
      <c r="N15" s="62">
        <v>80</v>
      </c>
      <c r="O15" s="66"/>
      <c r="P15" s="62"/>
      <c r="Q15" s="66"/>
      <c r="R15" s="62"/>
      <c r="S15" s="62"/>
      <c r="T15" s="66"/>
      <c r="U15" s="62"/>
      <c r="V15" s="66"/>
      <c r="W15" s="62"/>
      <c r="X15" s="66"/>
      <c r="Y15" s="62"/>
      <c r="Z15" s="46">
        <f t="shared" si="7"/>
        <v>80</v>
      </c>
      <c r="AA15" s="38">
        <f t="shared" si="8"/>
        <v>671.14</v>
      </c>
    </row>
    <row r="16" spans="1:27" ht="12.75" customHeight="1" thickBot="1">
      <c r="A16" s="22" t="s">
        <v>32</v>
      </c>
      <c r="B16" s="17" t="s">
        <v>69</v>
      </c>
      <c r="C16" s="34"/>
      <c r="D16" s="35"/>
      <c r="E16" s="56">
        <v>0</v>
      </c>
      <c r="F16" s="35">
        <v>1442.38</v>
      </c>
      <c r="G16" s="35">
        <v>0</v>
      </c>
      <c r="H16" s="35"/>
      <c r="I16" s="35">
        <v>0</v>
      </c>
      <c r="J16" s="35">
        <v>0</v>
      </c>
      <c r="K16" s="35">
        <v>6843.77</v>
      </c>
      <c r="L16" s="35">
        <v>4981.14</v>
      </c>
      <c r="M16" s="35">
        <v>0</v>
      </c>
      <c r="N16" s="62"/>
      <c r="O16" s="66"/>
      <c r="P16" s="62"/>
      <c r="Q16" s="62"/>
      <c r="R16" s="62"/>
      <c r="S16" s="62"/>
      <c r="T16" s="66"/>
      <c r="U16" s="62"/>
      <c r="V16" s="66"/>
      <c r="W16" s="62"/>
      <c r="X16" s="66"/>
      <c r="Y16" s="62"/>
      <c r="Z16" s="46">
        <f t="shared" si="7"/>
        <v>0</v>
      </c>
      <c r="AA16" s="38">
        <f t="shared" si="8"/>
        <v>13267.29</v>
      </c>
    </row>
    <row r="17" spans="1:27" ht="11.25" customHeight="1" thickBot="1">
      <c r="A17" s="22"/>
      <c r="B17" s="17" t="s">
        <v>70</v>
      </c>
      <c r="C17" s="34"/>
      <c r="D17" s="35"/>
      <c r="E17" s="56"/>
      <c r="F17" s="35"/>
      <c r="G17" s="35"/>
      <c r="H17" s="35"/>
      <c r="I17" s="35"/>
      <c r="J17" s="35"/>
      <c r="K17" s="35">
        <v>403.35</v>
      </c>
      <c r="L17" s="35">
        <v>508.56</v>
      </c>
      <c r="M17" s="35">
        <v>514.8</v>
      </c>
      <c r="N17" s="62">
        <v>43.29</v>
      </c>
      <c r="O17" s="62">
        <v>43.29</v>
      </c>
      <c r="P17" s="62">
        <v>43.29</v>
      </c>
      <c r="Q17" s="62">
        <v>43.29</v>
      </c>
      <c r="R17" s="62">
        <v>43.29</v>
      </c>
      <c r="S17" s="62">
        <v>43.29</v>
      </c>
      <c r="T17" s="62">
        <v>45.05</v>
      </c>
      <c r="U17" s="62">
        <v>45.05</v>
      </c>
      <c r="V17" s="62">
        <v>45.05</v>
      </c>
      <c r="W17" s="62">
        <v>45.05</v>
      </c>
      <c r="X17" s="62">
        <v>45.05</v>
      </c>
      <c r="Y17" s="62">
        <v>45.05</v>
      </c>
      <c r="Z17" s="46">
        <f>SUM(N17:Y17)</f>
        <v>530.0400000000001</v>
      </c>
      <c r="AA17" s="38">
        <f>SUM(C17:Y17)</f>
        <v>1956.7499999999995</v>
      </c>
    </row>
    <row r="18" spans="1:27" ht="12.75" customHeight="1" thickBot="1">
      <c r="A18" s="22"/>
      <c r="B18" s="17" t="s">
        <v>71</v>
      </c>
      <c r="C18" s="34"/>
      <c r="D18" s="35"/>
      <c r="E18" s="56"/>
      <c r="F18" s="35"/>
      <c r="G18" s="35"/>
      <c r="H18" s="35"/>
      <c r="I18" s="35"/>
      <c r="J18" s="35"/>
      <c r="K18" s="35">
        <v>260.29</v>
      </c>
      <c r="L18" s="35">
        <v>449.64</v>
      </c>
      <c r="M18" s="35">
        <v>472.76</v>
      </c>
      <c r="N18" s="62">
        <v>41.87</v>
      </c>
      <c r="O18" s="62">
        <v>41.87</v>
      </c>
      <c r="P18" s="62">
        <v>41.87</v>
      </c>
      <c r="Q18" s="62">
        <v>41.87</v>
      </c>
      <c r="R18" s="62">
        <v>41.87</v>
      </c>
      <c r="S18" s="62">
        <v>41.87</v>
      </c>
      <c r="T18" s="62">
        <v>41.99</v>
      </c>
      <c r="U18" s="62">
        <v>41.99</v>
      </c>
      <c r="V18" s="62">
        <v>41.99</v>
      </c>
      <c r="W18" s="62">
        <v>41.99</v>
      </c>
      <c r="X18" s="62">
        <v>41.99</v>
      </c>
      <c r="Y18" s="62">
        <v>41.99</v>
      </c>
      <c r="Z18" s="46">
        <f>SUM(N18:Y18)</f>
        <v>503.16</v>
      </c>
      <c r="AA18" s="38">
        <f>SUM(C18:Y18)</f>
        <v>1685.8499999999995</v>
      </c>
    </row>
    <row r="19" spans="1:27" ht="12" customHeight="1" thickBot="1">
      <c r="A19" s="22" t="s">
        <v>32</v>
      </c>
      <c r="B19" s="17" t="s">
        <v>4</v>
      </c>
      <c r="C19" s="34"/>
      <c r="D19" s="35"/>
      <c r="E19" s="56">
        <v>69.21</v>
      </c>
      <c r="F19" s="35">
        <v>442.76</v>
      </c>
      <c r="G19" s="35">
        <v>226.12</v>
      </c>
      <c r="H19" s="35"/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62"/>
      <c r="O19" s="66"/>
      <c r="P19" s="62"/>
      <c r="Q19" s="66"/>
      <c r="R19" s="62"/>
      <c r="S19" s="62"/>
      <c r="T19" s="66"/>
      <c r="U19" s="62"/>
      <c r="V19" s="66"/>
      <c r="W19" s="62"/>
      <c r="X19" s="66"/>
      <c r="Y19" s="62"/>
      <c r="Z19" s="46">
        <f t="shared" si="7"/>
        <v>0</v>
      </c>
      <c r="AA19" s="38">
        <f t="shared" si="8"/>
        <v>738.0899999999999</v>
      </c>
    </row>
    <row r="20" spans="1:27" ht="15" customHeight="1" thickBot="1">
      <c r="A20" s="22" t="s">
        <v>65</v>
      </c>
      <c r="B20" s="17" t="s">
        <v>66</v>
      </c>
      <c r="C20" s="34"/>
      <c r="D20" s="35"/>
      <c r="E20" s="56"/>
      <c r="F20" s="35"/>
      <c r="G20" s="35"/>
      <c r="H20" s="35"/>
      <c r="I20" s="35"/>
      <c r="J20" s="35">
        <v>500</v>
      </c>
      <c r="K20" s="35">
        <v>400</v>
      </c>
      <c r="L20" s="35">
        <v>400</v>
      </c>
      <c r="M20" s="35">
        <v>500</v>
      </c>
      <c r="N20" s="62"/>
      <c r="O20" s="66"/>
      <c r="P20" s="62"/>
      <c r="Q20" s="66"/>
      <c r="R20" s="62"/>
      <c r="S20" s="62"/>
      <c r="T20" s="66"/>
      <c r="U20" s="62"/>
      <c r="V20" s="66"/>
      <c r="W20" s="62"/>
      <c r="X20" s="66"/>
      <c r="Y20" s="62"/>
      <c r="Z20" s="46">
        <f>SUM(N20:Y20)</f>
        <v>0</v>
      </c>
      <c r="AA20" s="38">
        <f>SUM(C20:Y20)</f>
        <v>1800</v>
      </c>
    </row>
    <row r="21" spans="1:27" ht="35.25" customHeight="1" thickBot="1">
      <c r="A21" s="22" t="s">
        <v>33</v>
      </c>
      <c r="B21" s="17" t="s">
        <v>59</v>
      </c>
      <c r="C21" s="34"/>
      <c r="D21" s="35"/>
      <c r="E21" s="56">
        <v>287.26</v>
      </c>
      <c r="F21" s="35">
        <v>3445.33</v>
      </c>
      <c r="G21" s="35">
        <v>4771.39</v>
      </c>
      <c r="H21" s="35">
        <v>2112.81</v>
      </c>
      <c r="I21" s="35">
        <v>2491.91</v>
      </c>
      <c r="J21" s="35">
        <v>2634.86</v>
      </c>
      <c r="K21" s="35">
        <v>2676.86</v>
      </c>
      <c r="L21" s="35">
        <v>2813.89</v>
      </c>
      <c r="M21" s="35">
        <v>2277.86</v>
      </c>
      <c r="N21" s="62">
        <v>167.29</v>
      </c>
      <c r="O21" s="66">
        <v>149.96</v>
      </c>
      <c r="P21" s="62">
        <v>186.44</v>
      </c>
      <c r="Q21" s="66">
        <v>145.75</v>
      </c>
      <c r="R21" s="62">
        <v>150.81</v>
      </c>
      <c r="S21" s="62">
        <v>152.22</v>
      </c>
      <c r="T21" s="66">
        <v>176.05</v>
      </c>
      <c r="U21" s="62">
        <v>219.4</v>
      </c>
      <c r="V21" s="66">
        <v>210.54</v>
      </c>
      <c r="W21" s="62">
        <v>244.7</v>
      </c>
      <c r="X21" s="66">
        <v>227.59</v>
      </c>
      <c r="Y21" s="62">
        <v>207.75</v>
      </c>
      <c r="Z21" s="46">
        <f t="shared" si="7"/>
        <v>2238.5</v>
      </c>
      <c r="AA21" s="38">
        <f t="shared" si="8"/>
        <v>25750.670000000002</v>
      </c>
    </row>
    <row r="22" spans="1:27" ht="26.25" customHeight="1" thickBot="1">
      <c r="A22" s="22" t="s">
        <v>34</v>
      </c>
      <c r="B22" s="17" t="s">
        <v>60</v>
      </c>
      <c r="C22" s="34"/>
      <c r="D22" s="35"/>
      <c r="E22" s="56">
        <v>30.71</v>
      </c>
      <c r="F22" s="35">
        <v>410.74</v>
      </c>
      <c r="G22" s="35">
        <v>292.23</v>
      </c>
      <c r="H22" s="35">
        <v>635.59</v>
      </c>
      <c r="I22" s="35">
        <v>429.44</v>
      </c>
      <c r="J22" s="35">
        <v>374.77</v>
      </c>
      <c r="K22" s="35">
        <v>292.8</v>
      </c>
      <c r="L22" s="35">
        <v>282.84</v>
      </c>
      <c r="M22" s="35">
        <v>257.94</v>
      </c>
      <c r="N22" s="62">
        <v>9.61</v>
      </c>
      <c r="O22" s="66">
        <v>13.61</v>
      </c>
      <c r="P22" s="62">
        <v>13.04</v>
      </c>
      <c r="Q22" s="66">
        <v>13.03</v>
      </c>
      <c r="R22" s="62">
        <v>12.7</v>
      </c>
      <c r="S22" s="62">
        <v>11.1</v>
      </c>
      <c r="T22" s="66">
        <v>25.04</v>
      </c>
      <c r="U22" s="62">
        <v>12.99</v>
      </c>
      <c r="V22" s="66">
        <v>0</v>
      </c>
      <c r="W22" s="62">
        <v>23.97</v>
      </c>
      <c r="X22" s="66">
        <v>10.3</v>
      </c>
      <c r="Y22" s="62">
        <v>28.06</v>
      </c>
      <c r="Z22" s="46">
        <f t="shared" si="7"/>
        <v>173.45</v>
      </c>
      <c r="AA22" s="38">
        <f t="shared" si="8"/>
        <v>3180.51</v>
      </c>
    </row>
    <row r="23" spans="1:27" ht="37.5" customHeight="1" thickBot="1">
      <c r="A23" s="22" t="s">
        <v>35</v>
      </c>
      <c r="B23" s="17" t="s">
        <v>61</v>
      </c>
      <c r="C23" s="34"/>
      <c r="D23" s="35"/>
      <c r="E23" s="56">
        <v>201.65</v>
      </c>
      <c r="F23" s="35">
        <v>2135.41</v>
      </c>
      <c r="G23" s="35">
        <v>2866.78</v>
      </c>
      <c r="H23" s="35">
        <v>2464.52</v>
      </c>
      <c r="I23" s="35">
        <v>3161.17</v>
      </c>
      <c r="J23" s="35">
        <v>2741.61</v>
      </c>
      <c r="K23" s="35">
        <v>2643.16</v>
      </c>
      <c r="L23" s="35">
        <v>3164.41</v>
      </c>
      <c r="M23" s="35">
        <v>3326.98</v>
      </c>
      <c r="N23" s="62">
        <f>6.83+90.01+146.77</f>
        <v>243.61</v>
      </c>
      <c r="O23" s="66">
        <f>7.09+105.74+157.46</f>
        <v>270.29</v>
      </c>
      <c r="P23" s="62">
        <f>6.76+95.38+161.42</f>
        <v>263.56</v>
      </c>
      <c r="Q23" s="66">
        <f>8.39+112.2+150.71</f>
        <v>271.3</v>
      </c>
      <c r="R23" s="62">
        <f>7.07+140.21+149.58</f>
        <v>296.86</v>
      </c>
      <c r="S23" s="62">
        <f>6.86+118.36+141.08</f>
        <v>266.3</v>
      </c>
      <c r="T23" s="66">
        <f>7.42+96.59+143.13</f>
        <v>247.14</v>
      </c>
      <c r="U23" s="62">
        <f>138.9+7.01+97.4</f>
        <v>243.31</v>
      </c>
      <c r="V23" s="66">
        <f>7.93+125.55+214.49</f>
        <v>347.97</v>
      </c>
      <c r="W23" s="62">
        <f>7.38+209.66+208.75</f>
        <v>425.78999999999996</v>
      </c>
      <c r="X23" s="66">
        <f>8.12+168.38+200.96</f>
        <v>377.46000000000004</v>
      </c>
      <c r="Y23" s="62">
        <f>9.16+233.94+194.38</f>
        <v>437.48</v>
      </c>
      <c r="Z23" s="46">
        <f t="shared" si="7"/>
        <v>3691.07</v>
      </c>
      <c r="AA23" s="38">
        <f t="shared" si="8"/>
        <v>26396.760000000002</v>
      </c>
    </row>
    <row r="24" spans="1:27" ht="15.75" customHeight="1" thickBot="1">
      <c r="A24" s="22" t="s">
        <v>36</v>
      </c>
      <c r="B24" s="17" t="s">
        <v>7</v>
      </c>
      <c r="C24" s="34"/>
      <c r="D24" s="35"/>
      <c r="E24" s="56">
        <v>2084.74</v>
      </c>
      <c r="F24" s="35">
        <v>26874.15</v>
      </c>
      <c r="G24" s="35">
        <v>28323.25</v>
      </c>
      <c r="H24" s="35">
        <v>28993.38</v>
      </c>
      <c r="I24" s="35">
        <v>32824.86</v>
      </c>
      <c r="J24" s="35">
        <v>32748.34</v>
      </c>
      <c r="K24" s="35">
        <v>32207.26</v>
      </c>
      <c r="L24" s="35">
        <v>32969.76</v>
      </c>
      <c r="M24" s="35">
        <v>36020.38</v>
      </c>
      <c r="N24" s="62">
        <f>4200.47-748.32</f>
        <v>3452.15</v>
      </c>
      <c r="O24" s="66">
        <f>3825.99-680.08</f>
        <v>3145.91</v>
      </c>
      <c r="P24" s="62">
        <f>3934.31-725.59</f>
        <v>3208.72</v>
      </c>
      <c r="Q24" s="66">
        <f>3813.36-685.81</f>
        <v>3127.55</v>
      </c>
      <c r="R24" s="62">
        <f>3897.1-707.57</f>
        <v>3189.5299999999997</v>
      </c>
      <c r="S24" s="62">
        <f>7412.7-4212.22</f>
        <v>3200.4799999999996</v>
      </c>
      <c r="T24" s="66">
        <f>4334.31-726.03</f>
        <v>3608.2800000000007</v>
      </c>
      <c r="U24" s="62">
        <f>4326.11-740.78</f>
        <v>3585.33</v>
      </c>
      <c r="V24" s="66">
        <f>4630.14-961.96</f>
        <v>3668.1800000000003</v>
      </c>
      <c r="W24" s="62">
        <f>4746-1004.82</f>
        <v>3741.18</v>
      </c>
      <c r="X24" s="66">
        <f>7358.39-2839.76</f>
        <v>4518.63</v>
      </c>
      <c r="Y24" s="62">
        <f>5058.42-924.48</f>
        <v>4133.9400000000005</v>
      </c>
      <c r="Z24" s="46">
        <f t="shared" si="7"/>
        <v>42579.88</v>
      </c>
      <c r="AA24" s="38">
        <f t="shared" si="8"/>
        <v>295626.00000000006</v>
      </c>
    </row>
    <row r="25" spans="1:27" ht="13.5" customHeight="1" thickBot="1">
      <c r="A25" s="22" t="s">
        <v>51</v>
      </c>
      <c r="B25" s="18" t="s">
        <v>3</v>
      </c>
      <c r="C25" s="36"/>
      <c r="D25" s="37"/>
      <c r="E25" s="57">
        <v>304.94</v>
      </c>
      <c r="F25" s="37">
        <v>2414.24</v>
      </c>
      <c r="G25" s="37">
        <v>2189.66</v>
      </c>
      <c r="H25" s="76">
        <v>2258.31</v>
      </c>
      <c r="I25" s="76">
        <v>2175.48</v>
      </c>
      <c r="J25" s="76">
        <v>2203.66</v>
      </c>
      <c r="K25" s="76">
        <v>2424.87</v>
      </c>
      <c r="L25" s="76">
        <v>2431.42</v>
      </c>
      <c r="M25" s="76">
        <v>2092.12</v>
      </c>
      <c r="N25" s="77">
        <f>2.76+159.89</f>
        <v>162.64999999999998</v>
      </c>
      <c r="O25" s="68">
        <f>2.63+152.35</f>
        <v>154.98</v>
      </c>
      <c r="P25" s="63">
        <f>2.89+167.43</f>
        <v>170.32</v>
      </c>
      <c r="Q25" s="68">
        <f>2.76+159.89</f>
        <v>162.64999999999998</v>
      </c>
      <c r="R25" s="63">
        <f>2.54+146.81</f>
        <v>149.35</v>
      </c>
      <c r="S25" s="63">
        <f>2.76+159.89</f>
        <v>162.64999999999998</v>
      </c>
      <c r="T25" s="68">
        <f>2.99+172.96</f>
        <v>175.95000000000002</v>
      </c>
      <c r="U25" s="63">
        <f>2.82+159.89</f>
        <v>162.70999999999998</v>
      </c>
      <c r="V25" s="68">
        <f>4.83+275.18</f>
        <v>280.01</v>
      </c>
      <c r="W25" s="63">
        <f>2.82+159.89</f>
        <v>162.70999999999998</v>
      </c>
      <c r="X25" s="68">
        <f>2.82+159.89</f>
        <v>162.70999999999998</v>
      </c>
      <c r="Y25" s="63">
        <f>2.82+159.89</f>
        <v>162.70999999999998</v>
      </c>
      <c r="Z25" s="46">
        <f t="shared" si="7"/>
        <v>2069.4</v>
      </c>
      <c r="AA25" s="38">
        <f t="shared" si="8"/>
        <v>20564.1</v>
      </c>
    </row>
    <row r="26" spans="1:27" ht="13.5" customHeight="1" thickBot="1">
      <c r="A26" s="22"/>
      <c r="B26" s="29" t="s">
        <v>56</v>
      </c>
      <c r="C26" s="71"/>
      <c r="D26" s="72"/>
      <c r="E26" s="73"/>
      <c r="F26" s="72"/>
      <c r="G26" s="72"/>
      <c r="H26" s="74">
        <f>H7*5%</f>
        <v>3163.8720000000003</v>
      </c>
      <c r="I26" s="74">
        <f>I7*5%</f>
        <v>3163.8700000000003</v>
      </c>
      <c r="J26" s="74">
        <f>J7*5%</f>
        <v>3163.4005</v>
      </c>
      <c r="K26" s="74">
        <f>K7*5%</f>
        <v>2899.0840000000003</v>
      </c>
      <c r="L26" s="74">
        <f>L7*5%</f>
        <v>2900.016</v>
      </c>
      <c r="M26" s="74">
        <f>(M7+M8+M9)*5%</f>
        <v>3048.9930000000004</v>
      </c>
      <c r="N26" s="74">
        <f>(N7+N8+N9)*5%</f>
        <v>274.2585</v>
      </c>
      <c r="O26" s="74">
        <f aca="true" t="shared" si="9" ref="O26:Y26">(O7+O8+O9)*5%</f>
        <v>274.2585</v>
      </c>
      <c r="P26" s="74">
        <f t="shared" si="9"/>
        <v>274.2585</v>
      </c>
      <c r="Q26" s="74">
        <f t="shared" si="9"/>
        <v>274.2585</v>
      </c>
      <c r="R26" s="74">
        <f t="shared" si="9"/>
        <v>274.2585</v>
      </c>
      <c r="S26" s="74">
        <f t="shared" si="9"/>
        <v>274.2585</v>
      </c>
      <c r="T26" s="74">
        <f t="shared" si="9"/>
        <v>274.5575</v>
      </c>
      <c r="U26" s="74">
        <f t="shared" si="9"/>
        <v>274.5575</v>
      </c>
      <c r="V26" s="74">
        <f t="shared" si="9"/>
        <v>274.5575</v>
      </c>
      <c r="W26" s="74">
        <f t="shared" si="9"/>
        <v>274.5575</v>
      </c>
      <c r="X26" s="74">
        <f t="shared" si="9"/>
        <v>274.5575</v>
      </c>
      <c r="Y26" s="74">
        <f t="shared" si="9"/>
        <v>274.5575</v>
      </c>
      <c r="Z26" s="74">
        <f t="shared" si="7"/>
        <v>3292.8959999999993</v>
      </c>
      <c r="AA26" s="54"/>
    </row>
    <row r="27" spans="1:27" ht="13.5" customHeight="1" thickBot="1">
      <c r="A27" s="91" t="s">
        <v>37</v>
      </c>
      <c r="B27" s="51" t="s">
        <v>47</v>
      </c>
      <c r="C27" s="52"/>
      <c r="D27" s="53"/>
      <c r="E27" s="58"/>
      <c r="F27" s="53"/>
      <c r="G27" s="53"/>
      <c r="H27" s="53"/>
      <c r="I27" s="53"/>
      <c r="J27" s="53"/>
      <c r="K27" s="75">
        <f aca="true" t="shared" si="10" ref="K27:Y27">SUM(K7+K8+K9-K10)-K26</f>
        <v>2448.4160000000143</v>
      </c>
      <c r="L27" s="75">
        <f>SUM(L7+L8+L9-L10)-L26</f>
        <v>4990.074000000004</v>
      </c>
      <c r="M27" s="75">
        <f>SUM(M7+M8+M9-M10)-M26</f>
        <v>6646.286999999998</v>
      </c>
      <c r="N27" s="75">
        <f t="shared" si="10"/>
        <v>1010.4414999999998</v>
      </c>
      <c r="O27" s="75">
        <f t="shared" si="10"/>
        <v>1384.9215000000004</v>
      </c>
      <c r="P27" s="75">
        <f t="shared" si="10"/>
        <v>1276.6015000000002</v>
      </c>
      <c r="Q27" s="75">
        <f t="shared" si="10"/>
        <v>1397.5515</v>
      </c>
      <c r="R27" s="75">
        <f t="shared" si="10"/>
        <v>1313.8115000000003</v>
      </c>
      <c r="S27" s="75">
        <f t="shared" si="10"/>
        <v>-2201.7884999999987</v>
      </c>
      <c r="T27" s="75">
        <f t="shared" si="10"/>
        <v>882.2824999999992</v>
      </c>
      <c r="U27" s="75">
        <f t="shared" si="10"/>
        <v>890.4825</v>
      </c>
      <c r="V27" s="75">
        <f t="shared" si="10"/>
        <v>586.4524999999993</v>
      </c>
      <c r="W27" s="75">
        <f t="shared" si="10"/>
        <v>470.59249999999963</v>
      </c>
      <c r="X27" s="75">
        <f t="shared" si="10"/>
        <v>-2141.7975000000006</v>
      </c>
      <c r="Y27" s="75">
        <f t="shared" si="10"/>
        <v>158.17249999999865</v>
      </c>
      <c r="Z27" s="75">
        <f t="shared" si="7"/>
        <v>5027.723999999999</v>
      </c>
      <c r="AA27" s="54"/>
    </row>
    <row r="28" spans="1:27" ht="24.75" customHeight="1" thickBot="1">
      <c r="A28" s="94" t="s">
        <v>38</v>
      </c>
      <c r="B28" s="95" t="s">
        <v>21</v>
      </c>
      <c r="C28" s="96"/>
      <c r="D28" s="97"/>
      <c r="E28" s="98">
        <f>SUM(E7-E10,D28)</f>
        <v>1481.9099999999999</v>
      </c>
      <c r="F28" s="83">
        <f>SUM(F7-F10)</f>
        <v>2095.269999999997</v>
      </c>
      <c r="G28" s="83">
        <f>SUM(G7-G10)</f>
        <v>8079.310000000012</v>
      </c>
      <c r="H28" s="99">
        <f>SUM(H7-H10)-H26</f>
        <v>7193.068000000002</v>
      </c>
      <c r="I28" s="99">
        <f>SUM(I7-I10)-I26</f>
        <v>6309.339999999998</v>
      </c>
      <c r="J28" s="99">
        <f>SUM(J7-J10)-J26</f>
        <v>-3746.520500000003</v>
      </c>
      <c r="K28" s="99">
        <f>SUM(K7+K8+K9-K10)-K26</f>
        <v>2448.4160000000143</v>
      </c>
      <c r="L28" s="99">
        <f>SUM(L7+L8+L9-L10)-L26</f>
        <v>4990.074000000004</v>
      </c>
      <c r="M28" s="99">
        <f>SUM(M7+M8+M9-M10)-M26</f>
        <v>6646.286999999998</v>
      </c>
      <c r="N28" s="99">
        <f>SUM(N7+N8+N9-N10)-N26</f>
        <v>1010.4414999999998</v>
      </c>
      <c r="O28" s="99">
        <f>SUM(O27+N28)</f>
        <v>2395.3630000000003</v>
      </c>
      <c r="P28" s="99">
        <f aca="true" t="shared" si="11" ref="P28:Y28">SUM(P27+O28)</f>
        <v>3671.9645000000005</v>
      </c>
      <c r="Q28" s="99">
        <f t="shared" si="11"/>
        <v>5069.5160000000005</v>
      </c>
      <c r="R28" s="99">
        <f t="shared" si="11"/>
        <v>6383.327500000001</v>
      </c>
      <c r="S28" s="99">
        <f t="shared" si="11"/>
        <v>4181.5390000000025</v>
      </c>
      <c r="T28" s="99">
        <f t="shared" si="11"/>
        <v>5063.821500000002</v>
      </c>
      <c r="U28" s="99">
        <f t="shared" si="11"/>
        <v>5954.304000000002</v>
      </c>
      <c r="V28" s="99">
        <f t="shared" si="11"/>
        <v>6540.756500000001</v>
      </c>
      <c r="W28" s="99">
        <f t="shared" si="11"/>
        <v>7011.349000000001</v>
      </c>
      <c r="X28" s="99">
        <f t="shared" si="11"/>
        <v>4869.5515000000005</v>
      </c>
      <c r="Y28" s="99">
        <f t="shared" si="11"/>
        <v>5027.723999999999</v>
      </c>
      <c r="Z28" s="83"/>
      <c r="AA28" s="86"/>
    </row>
    <row r="29" spans="1:27" ht="24.75" customHeight="1" hidden="1" thickBot="1">
      <c r="A29" s="92" t="s">
        <v>39</v>
      </c>
      <c r="B29" s="30" t="s">
        <v>22</v>
      </c>
      <c r="C29" s="26"/>
      <c r="D29" s="30"/>
      <c r="E29" s="7">
        <f>SUM(E7-E10,D29)</f>
        <v>1481.9099999999999</v>
      </c>
      <c r="F29" s="64">
        <f>SUM(F7-F10,E29)</f>
        <v>3577.1799999999967</v>
      </c>
      <c r="G29" s="64">
        <f>SUM(G7-G10,F29)</f>
        <v>11656.490000000009</v>
      </c>
      <c r="H29" s="93">
        <f aca="true" t="shared" si="12" ref="H29:N29">SUM(H28+G29)</f>
        <v>18849.55800000001</v>
      </c>
      <c r="I29" s="93">
        <f t="shared" si="12"/>
        <v>25158.89800000001</v>
      </c>
      <c r="J29" s="93">
        <f t="shared" si="12"/>
        <v>21412.377500000006</v>
      </c>
      <c r="K29" s="93">
        <f t="shared" si="12"/>
        <v>23860.79350000002</v>
      </c>
      <c r="L29" s="93">
        <f t="shared" si="12"/>
        <v>28850.867500000026</v>
      </c>
      <c r="M29" s="93">
        <f t="shared" si="12"/>
        <v>35497.154500000026</v>
      </c>
      <c r="N29" s="93">
        <f t="shared" si="12"/>
        <v>36507.59600000003</v>
      </c>
      <c r="O29" s="93">
        <f>SUM(O27+N29)</f>
        <v>37892.51750000003</v>
      </c>
      <c r="P29" s="93">
        <f aca="true" t="shared" si="13" ref="P29:X29">SUM(P27+O29)</f>
        <v>39169.11900000003</v>
      </c>
      <c r="Q29" s="93">
        <f t="shared" si="13"/>
        <v>40566.67050000003</v>
      </c>
      <c r="R29" s="93">
        <f t="shared" si="13"/>
        <v>41880.48200000003</v>
      </c>
      <c r="S29" s="93">
        <f t="shared" si="13"/>
        <v>39678.69350000004</v>
      </c>
      <c r="T29" s="93">
        <f t="shared" si="13"/>
        <v>40560.97600000004</v>
      </c>
      <c r="U29" s="93">
        <f t="shared" si="13"/>
        <v>41451.45850000004</v>
      </c>
      <c r="V29" s="93">
        <f t="shared" si="13"/>
        <v>42037.91100000004</v>
      </c>
      <c r="W29" s="93">
        <f t="shared" si="13"/>
        <v>42508.503500000035</v>
      </c>
      <c r="X29" s="93">
        <f t="shared" si="13"/>
        <v>40366.706000000035</v>
      </c>
      <c r="Y29" s="93">
        <f>SUM(Y27+X29)</f>
        <v>40524.878500000035</v>
      </c>
      <c r="Z29" s="64"/>
      <c r="AA29" s="40"/>
    </row>
    <row r="30" spans="1:27" ht="23.25" hidden="1" thickBot="1">
      <c r="A30" s="22" t="s">
        <v>39</v>
      </c>
      <c r="B30" s="29" t="s">
        <v>6</v>
      </c>
      <c r="C30" s="26"/>
      <c r="D30" s="30"/>
      <c r="E30" s="59"/>
      <c r="F30" s="59"/>
      <c r="G30" s="59"/>
      <c r="H30" s="59"/>
      <c r="I30" s="59"/>
      <c r="J30" s="59"/>
      <c r="K30" s="59"/>
      <c r="L30" s="59"/>
      <c r="M30" s="59"/>
      <c r="N30" s="64"/>
      <c r="O30" s="64"/>
      <c r="P30" s="5"/>
      <c r="Q30" s="6"/>
      <c r="R30" s="6"/>
      <c r="S30" s="6"/>
      <c r="T30" s="6"/>
      <c r="U30" s="6"/>
      <c r="V30" s="6"/>
      <c r="W30" s="6"/>
      <c r="X30" s="6"/>
      <c r="Y30" s="7"/>
      <c r="Z30" s="47"/>
      <c r="AA30" s="41"/>
    </row>
    <row r="31" spans="1:27" ht="15" customHeight="1" hidden="1" thickBot="1">
      <c r="A31" s="22" t="s">
        <v>40</v>
      </c>
      <c r="B31" s="19" t="s">
        <v>23</v>
      </c>
      <c r="C31" s="26"/>
      <c r="D31" s="30"/>
      <c r="E31" s="59"/>
      <c r="F31" s="59"/>
      <c r="G31" s="59"/>
      <c r="H31" s="59"/>
      <c r="I31" s="59"/>
      <c r="J31" s="59"/>
      <c r="K31" s="59"/>
      <c r="L31" s="59"/>
      <c r="M31" s="59"/>
      <c r="N31" s="64"/>
      <c r="O31" s="64"/>
      <c r="P31" s="5"/>
      <c r="Q31" s="6"/>
      <c r="R31" s="6"/>
      <c r="S31" s="6"/>
      <c r="T31" s="6"/>
      <c r="U31" s="6"/>
      <c r="V31" s="6"/>
      <c r="W31" s="6"/>
      <c r="X31" s="6"/>
      <c r="Y31" s="7"/>
      <c r="Z31" s="46"/>
      <c r="AA31" s="42"/>
    </row>
    <row r="32" spans="1:27" ht="24" customHeight="1" hidden="1" thickBot="1">
      <c r="A32" s="23" t="s">
        <v>41</v>
      </c>
      <c r="B32" s="20" t="s">
        <v>45</v>
      </c>
      <c r="C32" s="27"/>
      <c r="D32" s="31"/>
      <c r="E32" s="60"/>
      <c r="F32" s="60"/>
      <c r="G32" s="60"/>
      <c r="H32" s="60"/>
      <c r="I32" s="60"/>
      <c r="J32" s="60"/>
      <c r="K32" s="60"/>
      <c r="L32" s="60"/>
      <c r="M32" s="60"/>
      <c r="N32" s="48"/>
      <c r="O32" s="48"/>
      <c r="P32" s="11"/>
      <c r="Q32" s="11"/>
      <c r="R32" s="11"/>
      <c r="S32" s="11"/>
      <c r="T32" s="11"/>
      <c r="U32" s="11"/>
      <c r="V32" s="11"/>
      <c r="W32" s="11"/>
      <c r="X32" s="11"/>
      <c r="Y32" s="12">
        <f>SUM(Y28-Y30)</f>
        <v>5027.723999999999</v>
      </c>
      <c r="Z32" s="48"/>
      <c r="AA32" s="43"/>
    </row>
    <row r="33" spans="1:27" ht="24" customHeight="1" hidden="1" thickBot="1">
      <c r="A33" s="23" t="s">
        <v>44</v>
      </c>
      <c r="B33" s="20" t="s">
        <v>24</v>
      </c>
      <c r="C33" s="27"/>
      <c r="D33" s="31"/>
      <c r="E33" s="60"/>
      <c r="F33" s="60"/>
      <c r="G33" s="60"/>
      <c r="H33" s="60"/>
      <c r="I33" s="60"/>
      <c r="J33" s="60"/>
      <c r="K33" s="60"/>
      <c r="L33" s="60"/>
      <c r="M33" s="60"/>
      <c r="N33" s="48"/>
      <c r="O33" s="48"/>
      <c r="P33" s="11"/>
      <c r="Q33" s="11"/>
      <c r="R33" s="11"/>
      <c r="S33" s="11"/>
      <c r="T33" s="11"/>
      <c r="U33" s="11"/>
      <c r="V33" s="11"/>
      <c r="W33" s="11"/>
      <c r="X33" s="11"/>
      <c r="Y33" s="12">
        <f>SUM(Y29-Y30)</f>
        <v>40524.878500000035</v>
      </c>
      <c r="Z33" s="48"/>
      <c r="AA33" s="43"/>
    </row>
    <row r="34" spans="3:27" ht="6.75" customHeight="1" hidden="1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10"/>
    </row>
    <row r="35" ht="12.75" hidden="1"/>
    <row r="36" ht="0.75" customHeight="1" hidden="1"/>
    <row r="37" ht="12.75" hidden="1"/>
    <row r="38" ht="12.75" hidden="1"/>
    <row r="39" ht="12.75">
      <c r="B39" t="s">
        <v>63</v>
      </c>
    </row>
    <row r="43" ht="12.75" customHeight="1"/>
    <row r="44" ht="12.75" customHeight="1"/>
  </sheetData>
  <sheetProtection/>
  <mergeCells count="5">
    <mergeCell ref="B4:AA4"/>
    <mergeCell ref="B5:AA5"/>
    <mergeCell ref="B3:AA3"/>
    <mergeCell ref="B1:P1"/>
    <mergeCell ref="B2:Z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2021-02-05T06:51:48Z</cp:lastPrinted>
  <dcterms:created xsi:type="dcterms:W3CDTF">2011-06-16T11:06:26Z</dcterms:created>
  <dcterms:modified xsi:type="dcterms:W3CDTF">2021-03-01T11:30:46Z</dcterms:modified>
  <cp:category/>
  <cp:version/>
  <cp:contentType/>
  <cp:contentStatus/>
</cp:coreProperties>
</file>