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1"/>
  </bookViews>
  <sheets>
    <sheet name="Лист2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<sst xmlns="http://schemas.openxmlformats.org/spreadsheetml/2006/main" count="82" uniqueCount="82">
  <si>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СПРАВКА</t>
  </si>
  <si>
    <t xml:space="preserve">Начислено  </t>
  </si>
  <si>
    <t>Расходы</t>
  </si>
  <si>
    <t>Услуги РИРЦ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</si>
  <si>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</si>
  <si>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</si>
  <si>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</si>
  <si>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</si>
  <si>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</si>
  <si>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</si>
  <si>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</si>
  <si>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</si>
  <si>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</si>
  <si>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</si>
  <si>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</si>
  <si>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</si>
  <si>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</si>
  <si>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</si>
  <si>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</si>
  <si>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</si>
  <si>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</si>
  <si>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</si>
  <si>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</si>
  <si>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</si>
  <si>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</si>
  <si>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</si>
  <si>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</si>
  <si>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</si>
  <si>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</si>
  <si>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</si>
  <si>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4.5</t>
  </si>
  <si>
    <t>4.6</t>
  </si>
  <si>
    <t>4.7</t>
  </si>
  <si>
    <t>4.8</t>
  </si>
  <si>
    <t>4.10</t>
  </si>
  <si>
    <t>4.11</t>
  </si>
  <si>
    <t>5</t>
  </si>
  <si>
    <t>6</t>
  </si>
  <si>
    <t>7</t>
  </si>
  <si>
    <t>8</t>
  </si>
  <si>
    <t>9</t>
  </si>
  <si>
    <t>по жилому дому г. Унеча ул. Иванова  д.25</t>
  </si>
  <si>
    <t>за 2009 г</t>
  </si>
  <si>
    <t>за 2010 г</t>
  </si>
  <si>
    <t>10</t>
  </si>
  <si>
    <t>Финансовый результат по дому с начала года</t>
  </si>
  <si>
    <t>Итого за 2011 г</t>
  </si>
  <si>
    <t>Проверка дымовых каналов</t>
  </si>
  <si>
    <t>11</t>
  </si>
  <si>
    <t>Результат за месяц</t>
  </si>
  <si>
    <t>Благоустройство территории</t>
  </si>
  <si>
    <t>Итого за 2012 г</t>
  </si>
  <si>
    <t>4.12</t>
  </si>
  <si>
    <t>4.13</t>
  </si>
  <si>
    <t>4.14</t>
  </si>
  <si>
    <t>Итого за 2013 г</t>
  </si>
  <si>
    <t>Итого за 2014 г</t>
  </si>
  <si>
    <t>4.4</t>
  </si>
  <si>
    <t>Тех.обслуживание  газопровода</t>
  </si>
  <si>
    <t>рентабельность 5%</t>
  </si>
  <si>
    <t xml:space="preserve">Материалы </t>
  </si>
  <si>
    <t>Итого за 2015 г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</si>
  <si>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</si>
  <si>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</si>
  <si>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</si>
  <si>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>Исполнитель  вед. экономист /Викторова Л.С./</t>
  </si>
  <si>
    <t>Итого за 2016 г</t>
  </si>
  <si>
    <t>Итого за 2017 г</t>
  </si>
  <si>
    <t>Начислено СОИД</t>
  </si>
  <si>
    <t>Электроэнергия СОИД</t>
  </si>
  <si>
    <t>Холодная вода СОИД</t>
  </si>
  <si>
    <t>Канализация СОИД</t>
  </si>
  <si>
    <t>Транспортные(ГСМ,зап.части,амортизация,страхование )</t>
  </si>
  <si>
    <t>Итого за 2018 г</t>
  </si>
  <si>
    <t>Дератизация</t>
  </si>
  <si>
    <t>Итого за 2019 г</t>
  </si>
  <si>
    <t>Дом по ул.Иванова д.25 вступил в ООО "Наш дом" с ноября 2009 года     тариф 8,3 руб с января 2019 года тариф 7,8 руб.</t>
  </si>
  <si>
    <t>ООО "НД УНЕЧА"</t>
  </si>
  <si>
    <t>Итого за 2020 г</t>
  </si>
  <si>
    <t>Всего за 2009-2020</t>
  </si>
  <si>
    <t>Утилизация</t>
  </si>
  <si>
    <t>Прочие доходы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</si>
</sst>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0" fontId="0" fillId="2" borderId="26" xfId="0" applyFill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wrapText="1"/>
    </xf>
    <xf numFmtId="0" fontId="21" fillId="0" borderId="31" xfId="0" applyFont="1" applyBorder="1" applyAlignment="1">
      <alignment horizontal="left" wrapText="1"/>
    </xf>
    <xf numFmtId="49" fontId="21" fillId="0" borderId="30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2" borderId="33" xfId="0" applyFont="1" applyFill="1" applyBorder="1" applyAlignment="1">
      <alignment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1" fillId="0" borderId="26" xfId="0" applyFont="1" applyBorder="1" applyAlignment="1">
      <alignment wrapText="1"/>
    </xf>
    <xf numFmtId="0" fontId="23" fillId="0" borderId="26" xfId="0" applyFont="1" applyBorder="1" applyAlignment="1">
      <alignment horizontal="left" vertical="center"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0" fontId="25" fillId="0" borderId="34" xfId="0" applyFont="1" applyBorder="1" applyAlignment="1">
      <alignment/>
    </xf>
    <xf numFmtId="2" fontId="21" fillId="0" borderId="38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19" fillId="0" borderId="26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37" xfId="0" applyFont="1" applyBorder="1" applyAlignment="1">
      <alignment/>
    </xf>
    <xf numFmtId="0" fontId="20" fillId="2" borderId="37" xfId="0" applyFont="1" applyFill="1" applyBorder="1" applyAlignment="1">
      <alignment/>
    </xf>
    <xf numFmtId="49" fontId="0" fillId="0" borderId="37" xfId="0" applyNumberFormat="1" applyBorder="1" applyAlignment="1">
      <alignment horizontal="center"/>
    </xf>
    <xf numFmtId="0" fontId="21" fillId="0" borderId="39" xfId="0" applyFont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0" fontId="26" fillId="0" borderId="40" xfId="0" applyFont="1" applyBorder="1" applyAlignment="1">
      <alignment wrapText="1"/>
    </xf>
    <xf numFmtId="0" fontId="26" fillId="0" borderId="34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2" borderId="28" xfId="0" applyFont="1" applyFill="1" applyBorder="1" applyAlignment="1">
      <alignment wrapText="1"/>
    </xf>
    <xf numFmtId="0" fontId="26" fillId="0" borderId="41" xfId="0" applyFont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18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19" fillId="0" borderId="45" xfId="0" applyFont="1" applyBorder="1" applyAlignment="1">
      <alignment horizontal="center" vertical="center" wrapText="1"/>
    </xf>
    <xf numFmtId="2" fontId="21" fillId="0" borderId="28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49" fontId="22" fillId="0" borderId="35" xfId="0" applyNumberFormat="1" applyFont="1" applyBorder="1" applyAlignment="1">
      <alignment horizontal="center"/>
    </xf>
    <xf numFmtId="0" fontId="19" fillId="0" borderId="29" xfId="0" applyFont="1" applyBorder="1" applyAlignment="1">
      <alignment wrapText="1"/>
    </xf>
    <xf numFmtId="0" fontId="27" fillId="0" borderId="23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26" xfId="0" applyFont="1" applyBorder="1" applyAlignment="1">
      <alignment/>
    </xf>
    <xf numFmtId="0" fontId="22" fillId="0" borderId="0" xfId="0" applyFont="1" applyAlignment="1">
      <alignment/>
    </xf>
    <xf numFmtId="0" fontId="27" fillId="0" borderId="46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2" fontId="27" fillId="0" borderId="23" xfId="0" applyNumberFormat="1" applyFont="1" applyBorder="1" applyAlignment="1">
      <alignment/>
    </xf>
    <xf numFmtId="2" fontId="27" fillId="0" borderId="26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2" fillId="0" borderId="26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5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3.875" style="34" customWidth="1"/>
    <col min="2" max="2" width="22.875" style="0" customWidth="1"/>
    <col min="3" max="3" width="8.375" style="0" hidden="1" customWidth="1"/>
    <col min="4" max="4" width="8.625" style="0" hidden="1" customWidth="1"/>
    <col min="5" max="5" width="9.75390625" style="0" hidden="1" customWidth="1"/>
    <col min="6" max="6" width="11.75390625" style="0" hidden="1" customWidth="1"/>
    <col min="7" max="7" width="11.125" style="0" hidden="1" customWidth="1"/>
    <col min="8" max="8" width="9.125" style="0" hidden="1" customWidth="1"/>
    <col min="9" max="9" width="10.125" style="0" hidden="1" customWidth="1"/>
    <col min="10" max="10" width="10.625" style="0" hidden="1" customWidth="1"/>
    <col min="11" max="11" width="9.625" style="0" hidden="1" customWidth="1"/>
    <col min="12" max="12" width="9.375" style="0" hidden="1" customWidth="1"/>
    <col min="13" max="13" width="8.125" style="0" hidden="1" customWidth="1"/>
    <col min="14" max="14" width="8.375" style="0" customWidth="1"/>
    <col min="15" max="15" width="7.875" style="0" customWidth="1"/>
    <col min="16" max="16" width="8.375" style="0" customWidth="1"/>
    <col min="17" max="17" width="7.125" style="0" customWidth="1"/>
    <col min="18" max="18" width="7.875" style="0" customWidth="1"/>
    <col min="19" max="19" width="8.75390625" style="0" customWidth="1"/>
    <col min="20" max="20" width="8.625" style="0" customWidth="1"/>
    <col min="21" max="22" width="8.00390625" style="0" customWidth="1"/>
    <col min="23" max="23" width="8.25390625" style="0" customWidth="1"/>
    <col min="24" max="24" width="8.75390625" style="0" customWidth="1"/>
    <col min="25" max="25" width="9.00390625" style="0" customWidth="1"/>
    <col min="27" max="27" width="10.00390625" style="0" customWidth="1"/>
  </cols>
  <sheetData>
    <row r="1" spans="2:32" ht="12.75" customHeight="1">
      <c r="B1" s="97" t="s">
        <v>77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2:32" ht="12.75" customHeight="1">
      <c r="B2" s="97" t="s">
        <v>76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8"/>
      <c r="Y2" s="98"/>
      <c r="Z2" s="98"/>
      <c r="AA2" s="98"/>
      <c r="AB2" s="4"/>
      <c r="AC2" s="4"/>
      <c r="AD2" s="4"/>
      <c r="AE2" s="4"/>
      <c r="AF2" s="4"/>
    </row>
    <row r="3" spans="2:32" ht="12.75" customHeight="1">
      <c r="B3" s="96" t="s">
        <v>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3"/>
      <c r="AC3" s="3"/>
      <c r="AD3" s="3"/>
      <c r="AE3" s="3"/>
      <c r="AF3" s="3"/>
    </row>
    <row r="4" spans="2:32" ht="12" customHeight="1">
      <c r="B4" s="95" t="s">
        <v>7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2"/>
      <c r="AC4" s="2"/>
      <c r="AD4" s="2"/>
      <c r="AE4" s="2"/>
      <c r="AF4" s="2"/>
    </row>
    <row r="5" spans="2:32" ht="16.5" customHeight="1" thickBot="1">
      <c r="B5" s="95" t="s">
        <v>41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2"/>
      <c r="AC5" s="2"/>
      <c r="AD5" s="2"/>
      <c r="AE5" s="2"/>
      <c r="AF5" s="2"/>
    </row>
    <row r="6" spans="1:32" ht="35.25" customHeight="1" thickBot="1">
      <c r="A6" s="44" t="s">
        <v>24</v>
      </c>
      <c r="B6" s="35" t="s">
        <v>4</v>
      </c>
      <c r="C6" s="48" t="s">
        <v>42</v>
      </c>
      <c r="D6" s="48" t="s">
        <v>43</v>
      </c>
      <c r="E6" s="55" t="s">
        <v>46</v>
      </c>
      <c r="F6" s="55" t="s">
        <v>51</v>
      </c>
      <c r="G6" s="55" t="s">
        <v>55</v>
      </c>
      <c r="H6" s="75" t="s">
        <v>56</v>
      </c>
      <c r="I6" s="55" t="s">
        <v>61</v>
      </c>
      <c r="J6" s="55" t="s">
        <v>66</v>
      </c>
      <c r="K6" s="55" t="s">
        <v>67</v>
      </c>
      <c r="L6" s="55" t="s">
        <v>73</v>
      </c>
      <c r="M6" s="55" t="s">
        <v>75</v>
      </c>
      <c r="N6" s="6" t="s">
        <v>8</v>
      </c>
      <c r="O6" s="5" t="s">
        <v>9</v>
      </c>
      <c r="P6" s="5" t="s">
        <v>10</v>
      </c>
      <c r="Q6" s="5" t="s">
        <v>11</v>
      </c>
      <c r="R6" s="5" t="s">
        <v>12</v>
      </c>
      <c r="S6" s="5" t="s">
        <v>13</v>
      </c>
      <c r="T6" s="5" t="s">
        <v>14</v>
      </c>
      <c r="U6" s="5" t="s">
        <v>15</v>
      </c>
      <c r="V6" s="5" t="s">
        <v>16</v>
      </c>
      <c r="W6" s="5" t="s">
        <v>17</v>
      </c>
      <c r="X6" s="5" t="s">
        <v>19</v>
      </c>
      <c r="Y6" s="17" t="s">
        <v>18</v>
      </c>
      <c r="Z6" s="55" t="s">
        <v>78</v>
      </c>
      <c r="AA6" s="24" t="s">
        <v>79</v>
      </c>
      <c r="AB6" s="1"/>
      <c r="AC6" s="1"/>
      <c r="AD6" s="1"/>
      <c r="AE6" s="1"/>
      <c r="AF6" s="1"/>
    </row>
    <row r="7" spans="1:27" ht="13.5" thickBot="1">
      <c r="A7" s="45" t="s">
        <v>25</v>
      </c>
      <c r="B7" s="36" t="s">
        <v>1</v>
      </c>
      <c r="C7" s="63">
        <v>3845.2</v>
      </c>
      <c r="D7" s="64">
        <v>21149.6</v>
      </c>
      <c r="E7" s="68">
        <v>26741.92</v>
      </c>
      <c r="F7" s="64">
        <v>23532.18</v>
      </c>
      <c r="G7" s="64">
        <v>23480.4</v>
      </c>
      <c r="H7" s="64">
        <v>23480.4</v>
      </c>
      <c r="I7" s="64">
        <v>23480.4</v>
      </c>
      <c r="J7" s="64">
        <v>23480.4</v>
      </c>
      <c r="K7" s="64">
        <v>17099.28</v>
      </c>
      <c r="L7" s="64">
        <v>17099.28</v>
      </c>
      <c r="M7" s="64">
        <v>16069.2</v>
      </c>
      <c r="N7" s="7">
        <v>1339.1</v>
      </c>
      <c r="O7" s="7">
        <v>1339.1</v>
      </c>
      <c r="P7" s="7">
        <v>1339.1</v>
      </c>
      <c r="Q7" s="7">
        <v>1339.1</v>
      </c>
      <c r="R7" s="7">
        <v>1339.1</v>
      </c>
      <c r="S7" s="7">
        <v>1339.1</v>
      </c>
      <c r="T7" s="7">
        <v>1339.1</v>
      </c>
      <c r="U7" s="7">
        <v>1339.1</v>
      </c>
      <c r="V7" s="7">
        <v>1339.1</v>
      </c>
      <c r="W7" s="7">
        <v>1339.1</v>
      </c>
      <c r="X7" s="7">
        <v>1339.1</v>
      </c>
      <c r="Y7" s="7">
        <v>1789.94</v>
      </c>
      <c r="Z7" s="56">
        <f>SUM(N7:Y7)</f>
        <v>16520.04</v>
      </c>
      <c r="AA7" s="51">
        <f>SUM(C7:Y7)</f>
        <v>235978.30000000005</v>
      </c>
    </row>
    <row r="8" spans="1:27" ht="13.5" thickBot="1">
      <c r="A8" s="45"/>
      <c r="B8" s="36" t="s">
        <v>68</v>
      </c>
      <c r="C8" s="63"/>
      <c r="D8" s="80"/>
      <c r="E8" s="63"/>
      <c r="F8" s="80"/>
      <c r="G8" s="80"/>
      <c r="H8" s="80"/>
      <c r="I8" s="80"/>
      <c r="J8" s="80">
        <v>0</v>
      </c>
      <c r="K8" s="80">
        <v>1118.58</v>
      </c>
      <c r="L8" s="80">
        <v>710.6</v>
      </c>
      <c r="M8" s="80">
        <v>226.56</v>
      </c>
      <c r="N8" s="7">
        <f aca="true" t="shared" si="0" ref="N8:S8">9.89+9.57</f>
        <v>19.46</v>
      </c>
      <c r="O8" s="7">
        <f t="shared" si="0"/>
        <v>19.46</v>
      </c>
      <c r="P8" s="7">
        <f t="shared" si="0"/>
        <v>19.46</v>
      </c>
      <c r="Q8" s="7">
        <f t="shared" si="0"/>
        <v>19.46</v>
      </c>
      <c r="R8" s="7">
        <f t="shared" si="0"/>
        <v>19.46</v>
      </c>
      <c r="S8" s="7">
        <f t="shared" si="0"/>
        <v>19.46</v>
      </c>
      <c r="T8" s="8">
        <f>10.3+9.59</f>
        <v>19.89</v>
      </c>
      <c r="U8" s="8">
        <f>10.3+9.59</f>
        <v>19.89</v>
      </c>
      <c r="V8" s="8">
        <f>10.3+9.59</f>
        <v>19.89</v>
      </c>
      <c r="W8" s="8">
        <f>10.3+9.59</f>
        <v>19.89</v>
      </c>
      <c r="X8" s="8">
        <f>10.3+9.59</f>
        <v>19.89</v>
      </c>
      <c r="Y8" s="8">
        <f>13.77+12.82</f>
        <v>26.59</v>
      </c>
      <c r="Z8" s="56">
        <f>SUM(N8:Y8)</f>
        <v>242.79999999999998</v>
      </c>
      <c r="AA8" s="51">
        <f>SUM(C8:Y8)</f>
        <v>2298.5399999999995</v>
      </c>
    </row>
    <row r="9" spans="1:27" ht="13.5" thickBot="1">
      <c r="A9" s="45"/>
      <c r="B9" s="36" t="s">
        <v>81</v>
      </c>
      <c r="C9" s="63"/>
      <c r="D9" s="80"/>
      <c r="E9" s="63"/>
      <c r="F9" s="80"/>
      <c r="G9" s="80"/>
      <c r="H9" s="80"/>
      <c r="I9" s="80"/>
      <c r="J9" s="80">
        <v>0</v>
      </c>
      <c r="K9" s="80">
        <v>6630.11</v>
      </c>
      <c r="L9" s="80">
        <v>6578.28</v>
      </c>
      <c r="M9" s="80">
        <v>5792.4</v>
      </c>
      <c r="N9" s="7">
        <v>483.34</v>
      </c>
      <c r="O9" s="7">
        <v>483.34</v>
      </c>
      <c r="P9" s="7">
        <v>483.34</v>
      </c>
      <c r="Q9" s="7">
        <v>483.34</v>
      </c>
      <c r="R9" s="7">
        <v>483.34</v>
      </c>
      <c r="S9" s="7">
        <v>483.34</v>
      </c>
      <c r="T9" s="8">
        <v>484.72</v>
      </c>
      <c r="U9" s="8">
        <v>484.72</v>
      </c>
      <c r="V9" s="8">
        <v>484.72</v>
      </c>
      <c r="W9" s="8">
        <v>484.72</v>
      </c>
      <c r="X9" s="8">
        <v>484.72</v>
      </c>
      <c r="Y9" s="8"/>
      <c r="Z9" s="56">
        <f>SUM(N9:Y9)</f>
        <v>5323.640000000001</v>
      </c>
      <c r="AA9" s="51">
        <f>SUM(C9:Y9)</f>
        <v>24324.430000000008</v>
      </c>
    </row>
    <row r="10" spans="1:27" s="88" customFormat="1" ht="13.5" thickBot="1">
      <c r="A10" s="81" t="s">
        <v>26</v>
      </c>
      <c r="B10" s="82" t="s">
        <v>2</v>
      </c>
      <c r="C10" s="83">
        <v>2449.58</v>
      </c>
      <c r="D10" s="84">
        <f aca="true" t="shared" si="1" ref="D10:N10">SUM(D11:D25)</f>
        <v>18404.749999999996</v>
      </c>
      <c r="E10" s="85">
        <f t="shared" si="1"/>
        <v>17115.949999999997</v>
      </c>
      <c r="F10" s="84">
        <f t="shared" si="1"/>
        <v>21317.76</v>
      </c>
      <c r="G10" s="84">
        <f t="shared" si="1"/>
        <v>31567.480000000003</v>
      </c>
      <c r="H10" s="84">
        <f t="shared" si="1"/>
        <v>20493.850000000002</v>
      </c>
      <c r="I10" s="84">
        <f>SUM(I11:I25)</f>
        <v>20702.89</v>
      </c>
      <c r="J10" s="84">
        <f>SUM(J11:J25)</f>
        <v>22923.399999999998</v>
      </c>
      <c r="K10" s="84">
        <f>SUM(K11:K25)</f>
        <v>23994.91</v>
      </c>
      <c r="L10" s="84">
        <f t="shared" si="1"/>
        <v>24635.179999999997</v>
      </c>
      <c r="M10" s="84">
        <f t="shared" si="1"/>
        <v>21341.769999999997</v>
      </c>
      <c r="N10" s="86">
        <f t="shared" si="1"/>
        <v>1596.9100000000003</v>
      </c>
      <c r="O10" s="86">
        <f aca="true" t="shared" si="2" ref="O10:Y10">SUM(O11:O25)</f>
        <v>1406.11</v>
      </c>
      <c r="P10" s="86">
        <f t="shared" si="2"/>
        <v>1650.1999999999998</v>
      </c>
      <c r="Q10" s="86">
        <f t="shared" si="2"/>
        <v>1399.74</v>
      </c>
      <c r="R10" s="86">
        <f t="shared" si="2"/>
        <v>1453.21</v>
      </c>
      <c r="S10" s="86">
        <f t="shared" si="2"/>
        <v>3770.4</v>
      </c>
      <c r="T10" s="86">
        <f t="shared" si="2"/>
        <v>1968.1999999999998</v>
      </c>
      <c r="U10" s="86">
        <f t="shared" si="2"/>
        <v>2235.79</v>
      </c>
      <c r="V10" s="86">
        <f t="shared" si="2"/>
        <v>2850.51</v>
      </c>
      <c r="W10" s="86">
        <f t="shared" si="2"/>
        <v>1717.33</v>
      </c>
      <c r="X10" s="86">
        <f t="shared" si="2"/>
        <v>1778.5799999999997</v>
      </c>
      <c r="Y10" s="83">
        <f t="shared" si="2"/>
        <v>2369.57</v>
      </c>
      <c r="Z10" s="84">
        <f>SUM(N10:Y10)</f>
        <v>24196.55</v>
      </c>
      <c r="AA10" s="87">
        <f>SUM(C10:Y10)</f>
        <v>249144.06999999998</v>
      </c>
    </row>
    <row r="11" spans="1:27" ht="13.5" thickBot="1">
      <c r="A11" s="45" t="s">
        <v>27</v>
      </c>
      <c r="B11" s="38" t="s">
        <v>80</v>
      </c>
      <c r="C11" s="52"/>
      <c r="D11" s="52">
        <v>4739.1</v>
      </c>
      <c r="E11" s="69">
        <v>3851.18</v>
      </c>
      <c r="F11" s="52">
        <v>3587.65</v>
      </c>
      <c r="G11" s="52">
        <v>4877.81</v>
      </c>
      <c r="H11" s="69">
        <v>4486.7</v>
      </c>
      <c r="I11" s="52">
        <v>3939.36</v>
      </c>
      <c r="J11" s="52">
        <v>3958.13</v>
      </c>
      <c r="K11" s="52">
        <v>4039.05</v>
      </c>
      <c r="L11" s="52">
        <v>4039.6</v>
      </c>
      <c r="M11" s="52">
        <v>43.49</v>
      </c>
      <c r="N11" s="7"/>
      <c r="O11" s="8">
        <v>2.84</v>
      </c>
      <c r="P11" s="8">
        <v>3.3</v>
      </c>
      <c r="Q11" s="8">
        <v>3.7</v>
      </c>
      <c r="R11" s="8">
        <v>5.92</v>
      </c>
      <c r="S11" s="8">
        <v>4.36</v>
      </c>
      <c r="T11" s="8">
        <v>6.91</v>
      </c>
      <c r="U11" s="8">
        <v>7.15</v>
      </c>
      <c r="V11" s="8">
        <v>16.98</v>
      </c>
      <c r="W11" s="8">
        <v>7.28</v>
      </c>
      <c r="X11" s="8">
        <v>0.54</v>
      </c>
      <c r="Y11" s="18">
        <v>0.72</v>
      </c>
      <c r="Z11" s="57">
        <f aca="true" t="shared" si="3" ref="Z11:Z27">SUM(N11:Y11)</f>
        <v>59.699999999999996</v>
      </c>
      <c r="AA11" s="33">
        <f aca="true" t="shared" si="4" ref="AA11:AA25">SUM(C11:Y11)</f>
        <v>37621.770000000004</v>
      </c>
    </row>
    <row r="12" spans="1:27" ht="13.5" customHeight="1" thickBot="1">
      <c r="A12" s="45" t="s">
        <v>28</v>
      </c>
      <c r="B12" s="39" t="s">
        <v>64</v>
      </c>
      <c r="C12" s="53"/>
      <c r="D12" s="53">
        <v>6338.22</v>
      </c>
      <c r="E12" s="70">
        <v>864.88</v>
      </c>
      <c r="F12" s="53">
        <v>84.48</v>
      </c>
      <c r="G12" s="53">
        <v>2558.35</v>
      </c>
      <c r="H12" s="70">
        <v>257</v>
      </c>
      <c r="I12" s="53">
        <v>106.66</v>
      </c>
      <c r="J12" s="53">
        <v>1609.66</v>
      </c>
      <c r="K12" s="53">
        <v>0</v>
      </c>
      <c r="L12" s="53">
        <v>0</v>
      </c>
      <c r="M12" s="53">
        <v>960</v>
      </c>
      <c r="N12" s="9"/>
      <c r="O12" s="10"/>
      <c r="P12" s="10"/>
      <c r="Q12" s="10"/>
      <c r="R12" s="10"/>
      <c r="S12" s="10"/>
      <c r="T12" s="10"/>
      <c r="U12" s="10"/>
      <c r="V12" s="10">
        <v>1083</v>
      </c>
      <c r="W12" s="10"/>
      <c r="X12" s="10"/>
      <c r="Y12" s="19"/>
      <c r="Z12" s="57">
        <f t="shared" si="3"/>
        <v>1083</v>
      </c>
      <c r="AA12" s="33">
        <f t="shared" si="4"/>
        <v>13862.25</v>
      </c>
    </row>
    <row r="13" spans="1:27" ht="23.25" customHeight="1" thickBot="1">
      <c r="A13" s="45" t="s">
        <v>29</v>
      </c>
      <c r="B13" s="39" t="s">
        <v>58</v>
      </c>
      <c r="C13" s="53"/>
      <c r="D13" s="53"/>
      <c r="E13" s="70">
        <v>884.29</v>
      </c>
      <c r="F13" s="53"/>
      <c r="G13" s="53"/>
      <c r="H13" s="70">
        <v>1524.5</v>
      </c>
      <c r="I13" s="53">
        <v>0</v>
      </c>
      <c r="J13" s="53">
        <v>0</v>
      </c>
      <c r="K13" s="53">
        <v>1657.8</v>
      </c>
      <c r="L13" s="53">
        <v>2165.3</v>
      </c>
      <c r="M13" s="53">
        <v>2038.7</v>
      </c>
      <c r="N13" s="9"/>
      <c r="O13" s="10"/>
      <c r="P13" s="10"/>
      <c r="Q13" s="10"/>
      <c r="R13" s="10"/>
      <c r="S13" s="10">
        <v>2137.9</v>
      </c>
      <c r="T13" s="10"/>
      <c r="U13" s="10"/>
      <c r="V13" s="10"/>
      <c r="W13" s="10"/>
      <c r="X13" s="10"/>
      <c r="Y13" s="19"/>
      <c r="Z13" s="57">
        <f>SUM(N13:Y13)</f>
        <v>2137.9</v>
      </c>
      <c r="AA13" s="33">
        <f>SUM(C13:Y13)</f>
        <v>10408.49</v>
      </c>
    </row>
    <row r="14" spans="1:27" ht="15" customHeight="1" thickBot="1">
      <c r="A14" s="45" t="s">
        <v>57</v>
      </c>
      <c r="B14" s="39" t="s">
        <v>47</v>
      </c>
      <c r="C14" s="53">
        <v>0</v>
      </c>
      <c r="D14" s="53">
        <v>0</v>
      </c>
      <c r="E14" s="70">
        <v>217.73</v>
      </c>
      <c r="F14" s="53">
        <v>0</v>
      </c>
      <c r="G14" s="53">
        <v>0</v>
      </c>
      <c r="H14" s="70"/>
      <c r="I14" s="53">
        <v>0</v>
      </c>
      <c r="J14" s="53">
        <v>300</v>
      </c>
      <c r="K14" s="53">
        <v>200</v>
      </c>
      <c r="L14" s="53">
        <v>200</v>
      </c>
      <c r="M14" s="53">
        <v>0</v>
      </c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9"/>
      <c r="Z14" s="57">
        <f t="shared" si="3"/>
        <v>0</v>
      </c>
      <c r="AA14" s="33">
        <f t="shared" si="4"/>
        <v>917.73</v>
      </c>
    </row>
    <row r="15" spans="1:27" ht="23.25" customHeight="1" thickBot="1">
      <c r="A15" s="45" t="s">
        <v>30</v>
      </c>
      <c r="B15" s="37" t="s">
        <v>50</v>
      </c>
      <c r="C15" s="53"/>
      <c r="D15" s="53"/>
      <c r="E15" s="70">
        <v>0</v>
      </c>
      <c r="F15" s="53">
        <v>256</v>
      </c>
      <c r="G15" s="53">
        <v>0</v>
      </c>
      <c r="H15" s="70">
        <v>2.91</v>
      </c>
      <c r="I15" s="53">
        <v>0</v>
      </c>
      <c r="J15" s="53">
        <v>186</v>
      </c>
      <c r="K15" s="53">
        <v>116.05</v>
      </c>
      <c r="L15" s="53">
        <v>92</v>
      </c>
      <c r="M15" s="53">
        <v>17.74</v>
      </c>
      <c r="N15" s="9">
        <v>80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9"/>
      <c r="Z15" s="57">
        <f>SUM(N15:Y15)</f>
        <v>80</v>
      </c>
      <c r="AA15" s="33">
        <f>SUM(C15:Y15)</f>
        <v>750.7</v>
      </c>
    </row>
    <row r="16" spans="1:27" ht="14.25" customHeight="1" thickBot="1">
      <c r="A16" s="45" t="s">
        <v>31</v>
      </c>
      <c r="B16" s="39" t="s">
        <v>60</v>
      </c>
      <c r="C16" s="53"/>
      <c r="D16" s="53">
        <v>76.76</v>
      </c>
      <c r="E16" s="70">
        <v>13.13</v>
      </c>
      <c r="F16" s="53">
        <v>2946.02</v>
      </c>
      <c r="G16" s="53">
        <v>9435.04</v>
      </c>
      <c r="H16" s="70">
        <v>80.81</v>
      </c>
      <c r="I16" s="53">
        <v>872.27</v>
      </c>
      <c r="J16" s="53">
        <v>1311.66</v>
      </c>
      <c r="K16" s="53">
        <v>1432.08</v>
      </c>
      <c r="L16" s="53">
        <v>356.81</v>
      </c>
      <c r="M16" s="53">
        <v>385</v>
      </c>
      <c r="N16" s="9"/>
      <c r="O16" s="10"/>
      <c r="P16" s="10"/>
      <c r="Q16" s="10"/>
      <c r="R16" s="10"/>
      <c r="S16" s="10">
        <v>145.65</v>
      </c>
      <c r="T16" s="10">
        <v>382.96</v>
      </c>
      <c r="U16" s="10"/>
      <c r="V16" s="10"/>
      <c r="W16" s="10"/>
      <c r="X16" s="10"/>
      <c r="Y16" s="19"/>
      <c r="Z16" s="57">
        <f t="shared" si="3"/>
        <v>528.61</v>
      </c>
      <c r="AA16" s="33">
        <f t="shared" si="4"/>
        <v>17438.190000000002</v>
      </c>
    </row>
    <row r="17" spans="1:27" ht="13.5" customHeight="1" thickBot="1">
      <c r="A17" s="45" t="s">
        <v>32</v>
      </c>
      <c r="B17" s="39" t="s">
        <v>69</v>
      </c>
      <c r="C17" s="53"/>
      <c r="D17" s="53">
        <v>681.54</v>
      </c>
      <c r="E17" s="70">
        <v>760.35</v>
      </c>
      <c r="F17" s="53">
        <v>752.9</v>
      </c>
      <c r="G17" s="53">
        <v>0</v>
      </c>
      <c r="H17" s="70"/>
      <c r="I17" s="53">
        <v>0</v>
      </c>
      <c r="J17" s="53">
        <v>0</v>
      </c>
      <c r="K17" s="53">
        <v>967.02</v>
      </c>
      <c r="L17" s="53">
        <v>491.78</v>
      </c>
      <c r="M17" s="53">
        <v>0</v>
      </c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9"/>
      <c r="Z17" s="57">
        <f>SUM(N17:Y17)</f>
        <v>0</v>
      </c>
      <c r="AA17" s="33">
        <f t="shared" si="4"/>
        <v>3653.59</v>
      </c>
    </row>
    <row r="18" spans="1:27" ht="13.5" customHeight="1" thickBot="1">
      <c r="A18" s="45"/>
      <c r="B18" s="39" t="s">
        <v>70</v>
      </c>
      <c r="C18" s="53"/>
      <c r="D18" s="53"/>
      <c r="E18" s="70"/>
      <c r="F18" s="53"/>
      <c r="G18" s="53"/>
      <c r="H18" s="70"/>
      <c r="I18" s="53"/>
      <c r="J18" s="53"/>
      <c r="K18" s="53">
        <v>123.18</v>
      </c>
      <c r="L18" s="53">
        <v>155.28</v>
      </c>
      <c r="M18" s="53">
        <v>157.2</v>
      </c>
      <c r="N18" s="9">
        <v>13.22</v>
      </c>
      <c r="O18" s="9">
        <v>13.22</v>
      </c>
      <c r="P18" s="9">
        <v>13.22</v>
      </c>
      <c r="Q18" s="9">
        <v>13.22</v>
      </c>
      <c r="R18" s="9">
        <v>13.22</v>
      </c>
      <c r="S18" s="9">
        <v>13.22</v>
      </c>
      <c r="T18" s="9">
        <v>13.76</v>
      </c>
      <c r="U18" s="9">
        <v>13.76</v>
      </c>
      <c r="V18" s="9">
        <v>13.76</v>
      </c>
      <c r="W18" s="9">
        <v>13.76</v>
      </c>
      <c r="X18" s="9">
        <v>13.76</v>
      </c>
      <c r="Y18" s="9">
        <v>13.76</v>
      </c>
      <c r="Z18" s="57">
        <f>SUM(N18:Y18)</f>
        <v>161.88</v>
      </c>
      <c r="AA18" s="33">
        <f>SUM(C18:Y18)</f>
        <v>597.5400000000001</v>
      </c>
    </row>
    <row r="19" spans="1:27" ht="13.5" customHeight="1" thickBot="1">
      <c r="A19" s="45"/>
      <c r="B19" s="39" t="s">
        <v>71</v>
      </c>
      <c r="C19" s="53"/>
      <c r="D19" s="53"/>
      <c r="E19" s="70"/>
      <c r="F19" s="53"/>
      <c r="G19" s="53"/>
      <c r="H19" s="70"/>
      <c r="I19" s="53"/>
      <c r="J19" s="53"/>
      <c r="K19" s="53">
        <v>79.53</v>
      </c>
      <c r="L19" s="53">
        <v>137.34</v>
      </c>
      <c r="M19" s="53">
        <v>144.38</v>
      </c>
      <c r="N19" s="9">
        <v>12.79</v>
      </c>
      <c r="O19" s="9">
        <v>12.79</v>
      </c>
      <c r="P19" s="9">
        <v>12.79</v>
      </c>
      <c r="Q19" s="9">
        <v>12.79</v>
      </c>
      <c r="R19" s="9">
        <v>12.79</v>
      </c>
      <c r="S19" s="9">
        <v>12.79</v>
      </c>
      <c r="T19" s="9">
        <v>12.82</v>
      </c>
      <c r="U19" s="9">
        <v>12.82</v>
      </c>
      <c r="V19" s="9">
        <v>12.82</v>
      </c>
      <c r="W19" s="9">
        <v>12.82</v>
      </c>
      <c r="X19" s="9">
        <v>12.82</v>
      </c>
      <c r="Y19" s="9">
        <v>12.82</v>
      </c>
      <c r="Z19" s="57">
        <f>SUM(N19:Y19)</f>
        <v>153.65999999999997</v>
      </c>
      <c r="AA19" s="33">
        <f>SUM(C19:Y19)</f>
        <v>514.9100000000001</v>
      </c>
    </row>
    <row r="20" spans="1:27" ht="14.25" customHeight="1" thickBot="1">
      <c r="A20" s="45" t="s">
        <v>33</v>
      </c>
      <c r="B20" s="39" t="s">
        <v>74</v>
      </c>
      <c r="C20" s="53"/>
      <c r="D20" s="53">
        <v>374.24</v>
      </c>
      <c r="E20" s="70">
        <v>216.75</v>
      </c>
      <c r="F20" s="53">
        <v>118.44</v>
      </c>
      <c r="G20" s="53">
        <v>0</v>
      </c>
      <c r="H20" s="70"/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9"/>
      <c r="Z20" s="57">
        <f t="shared" si="3"/>
        <v>0</v>
      </c>
      <c r="AA20" s="33">
        <f t="shared" si="4"/>
        <v>709.4300000000001</v>
      </c>
    </row>
    <row r="21" spans="1:27" ht="24" customHeight="1" thickBot="1">
      <c r="A21" s="45" t="s">
        <v>34</v>
      </c>
      <c r="B21" s="39" t="s">
        <v>72</v>
      </c>
      <c r="C21" s="53"/>
      <c r="D21" s="53">
        <v>249.53</v>
      </c>
      <c r="E21" s="70">
        <v>843.71</v>
      </c>
      <c r="F21" s="53">
        <v>1424.89</v>
      </c>
      <c r="G21" s="53">
        <v>1410.04</v>
      </c>
      <c r="H21" s="70">
        <v>702.56</v>
      </c>
      <c r="I21" s="53">
        <v>825.1</v>
      </c>
      <c r="J21" s="53">
        <v>877.51</v>
      </c>
      <c r="K21" s="53">
        <v>886.42</v>
      </c>
      <c r="L21" s="53">
        <v>931.52</v>
      </c>
      <c r="M21" s="53">
        <v>754.06</v>
      </c>
      <c r="N21" s="9">
        <v>55.38</v>
      </c>
      <c r="O21" s="10">
        <v>49.64</v>
      </c>
      <c r="P21" s="10">
        <v>61.72</v>
      </c>
      <c r="Q21" s="10">
        <v>48.25</v>
      </c>
      <c r="R21" s="10">
        <v>49.92</v>
      </c>
      <c r="S21" s="10">
        <v>50.39</v>
      </c>
      <c r="T21" s="10">
        <v>58.28</v>
      </c>
      <c r="U21" s="10">
        <v>72.63</v>
      </c>
      <c r="V21" s="10">
        <v>69.7</v>
      </c>
      <c r="W21" s="10">
        <v>81.01</v>
      </c>
      <c r="X21" s="10">
        <v>75.34</v>
      </c>
      <c r="Y21" s="19">
        <v>91.93</v>
      </c>
      <c r="Z21" s="57">
        <f t="shared" si="3"/>
        <v>764.19</v>
      </c>
      <c r="AA21" s="33">
        <f t="shared" si="4"/>
        <v>9669.529999999999</v>
      </c>
    </row>
    <row r="22" spans="1:27" ht="23.25" customHeight="1" thickBot="1">
      <c r="A22" s="45" t="s">
        <v>35</v>
      </c>
      <c r="B22" s="39" t="s">
        <v>62</v>
      </c>
      <c r="C22" s="53"/>
      <c r="D22" s="53">
        <v>473.96</v>
      </c>
      <c r="E22" s="70">
        <v>459.32</v>
      </c>
      <c r="F22" s="53">
        <v>136.65</v>
      </c>
      <c r="G22" s="53">
        <v>96.77</v>
      </c>
      <c r="H22" s="70">
        <v>210.44</v>
      </c>
      <c r="I22" s="53">
        <v>142.19</v>
      </c>
      <c r="J22" s="53">
        <v>124.13</v>
      </c>
      <c r="K22" s="53">
        <v>96.96</v>
      </c>
      <c r="L22" s="53">
        <v>93.96</v>
      </c>
      <c r="M22" s="53">
        <v>85.36</v>
      </c>
      <c r="N22" s="9">
        <v>3.18</v>
      </c>
      <c r="O22" s="10">
        <v>4.51</v>
      </c>
      <c r="P22" s="10">
        <v>4.32</v>
      </c>
      <c r="Q22" s="10">
        <v>4.31</v>
      </c>
      <c r="R22" s="10">
        <v>4.21</v>
      </c>
      <c r="S22" s="10">
        <v>3.67</v>
      </c>
      <c r="T22" s="10">
        <v>8.29</v>
      </c>
      <c r="U22" s="10">
        <v>4.3</v>
      </c>
      <c r="V22" s="10">
        <v>2.63</v>
      </c>
      <c r="W22" s="10">
        <v>7.93</v>
      </c>
      <c r="X22" s="10">
        <v>3.41</v>
      </c>
      <c r="Y22" s="19">
        <v>12.42</v>
      </c>
      <c r="Z22" s="57">
        <f t="shared" si="3"/>
        <v>63.18000000000001</v>
      </c>
      <c r="AA22" s="33">
        <f t="shared" si="4"/>
        <v>1982.9200000000003</v>
      </c>
    </row>
    <row r="23" spans="1:27" ht="33.75" customHeight="1" thickBot="1">
      <c r="A23" s="45" t="s">
        <v>52</v>
      </c>
      <c r="B23" s="39" t="s">
        <v>63</v>
      </c>
      <c r="C23" s="53"/>
      <c r="D23" s="53">
        <v>283.42</v>
      </c>
      <c r="E23" s="70">
        <v>730.37</v>
      </c>
      <c r="F23" s="53">
        <v>709.72</v>
      </c>
      <c r="G23" s="53">
        <v>999.22</v>
      </c>
      <c r="H23" s="70">
        <v>816.04</v>
      </c>
      <c r="I23" s="53">
        <v>1050.79</v>
      </c>
      <c r="J23" s="53">
        <v>907.87</v>
      </c>
      <c r="K23" s="53">
        <v>956.3</v>
      </c>
      <c r="L23" s="53">
        <v>1047.56</v>
      </c>
      <c r="M23" s="53">
        <v>1139.18</v>
      </c>
      <c r="N23" s="9">
        <f>2.26+29.8+48.59</f>
        <v>80.65</v>
      </c>
      <c r="O23" s="10">
        <f>2.35+35+52.13</f>
        <v>89.48</v>
      </c>
      <c r="P23" s="10">
        <f>2.24+31.58+53.44</f>
        <v>87.25999999999999</v>
      </c>
      <c r="Q23" s="10">
        <f>2.78+37.14+49.89</f>
        <v>89.81</v>
      </c>
      <c r="R23" s="10">
        <f>2.34+46.42+49.52</f>
        <v>98.28</v>
      </c>
      <c r="S23" s="10">
        <f>2.27+39.18+46.7</f>
        <v>88.15</v>
      </c>
      <c r="T23" s="10">
        <f>2.45+31.98+47.38</f>
        <v>81.81</v>
      </c>
      <c r="U23" s="10">
        <f>45.98+2.32+32.24</f>
        <v>80.53999999999999</v>
      </c>
      <c r="V23" s="10">
        <f>41.66+71.01</f>
        <v>112.67</v>
      </c>
      <c r="W23" s="10">
        <f>2.44+69.41+69.1</f>
        <v>140.95</v>
      </c>
      <c r="X23" s="10">
        <f>2.69+55.74+66.53</f>
        <v>124.96000000000001</v>
      </c>
      <c r="Y23" s="19">
        <f>4.05+103.52+81.59</f>
        <v>189.16</v>
      </c>
      <c r="Z23" s="57">
        <f t="shared" si="3"/>
        <v>1263.72</v>
      </c>
      <c r="AA23" s="33">
        <f t="shared" si="4"/>
        <v>9904.189999999999</v>
      </c>
    </row>
    <row r="24" spans="1:27" ht="15.75" customHeight="1" thickBot="1">
      <c r="A24" s="45" t="s">
        <v>53</v>
      </c>
      <c r="B24" s="39" t="s">
        <v>6</v>
      </c>
      <c r="C24" s="53"/>
      <c r="D24" s="53">
        <v>4379.61</v>
      </c>
      <c r="E24" s="70">
        <v>7133.15</v>
      </c>
      <c r="F24" s="53">
        <v>8952.49</v>
      </c>
      <c r="G24" s="53">
        <v>9328.07</v>
      </c>
      <c r="H24" s="70">
        <v>9632.69</v>
      </c>
      <c r="I24" s="53">
        <v>10499</v>
      </c>
      <c r="J24" s="53">
        <v>10244.64</v>
      </c>
      <c r="K24" s="53">
        <v>10224.33</v>
      </c>
      <c r="L24" s="53">
        <v>10964.23</v>
      </c>
      <c r="M24" s="53">
        <v>11886.63</v>
      </c>
      <c r="N24" s="9">
        <f>1596.91+-454.09</f>
        <v>1142.8200000000002</v>
      </c>
      <c r="O24" s="10">
        <f>1406.11-364.68</f>
        <v>1041.4299999999998</v>
      </c>
      <c r="P24" s="10">
        <f>1650.2-587.96</f>
        <v>1062.24</v>
      </c>
      <c r="Q24" s="10">
        <f>1399.74-364.38</f>
        <v>1035.3600000000001</v>
      </c>
      <c r="R24" s="10">
        <f>1453.21-397.33</f>
        <v>1055.88</v>
      </c>
      <c r="S24" s="10">
        <f>3770.4-2710.9</f>
        <v>1059.5</v>
      </c>
      <c r="T24" s="10">
        <f>1968.2-773.7</f>
        <v>1194.5</v>
      </c>
      <c r="U24" s="10">
        <f>2235.79-1048.87</f>
        <v>1186.92</v>
      </c>
      <c r="V24" s="10">
        <f>2850.51-1636.27</f>
        <v>1214.2400000000002</v>
      </c>
      <c r="W24" s="10">
        <f>1717.33-478.83</f>
        <v>1238.5</v>
      </c>
      <c r="X24" s="10">
        <f>1778.58-445.91</f>
        <v>1332.6699999999998</v>
      </c>
      <c r="Y24" s="19">
        <f>2369.57-535.89</f>
        <v>1833.6800000000003</v>
      </c>
      <c r="Z24" s="57">
        <f t="shared" si="3"/>
        <v>14397.740000000002</v>
      </c>
      <c r="AA24" s="33">
        <f t="shared" si="4"/>
        <v>107642.58000000002</v>
      </c>
    </row>
    <row r="25" spans="1:27" ht="13.5" customHeight="1" thickBot="1">
      <c r="A25" s="45" t="s">
        <v>54</v>
      </c>
      <c r="B25" s="40" t="s">
        <v>3</v>
      </c>
      <c r="C25" s="54"/>
      <c r="D25" s="54">
        <v>808.37</v>
      </c>
      <c r="E25" s="71">
        <v>1141.09</v>
      </c>
      <c r="F25" s="54">
        <v>2348.52</v>
      </c>
      <c r="G25" s="54">
        <v>2862.18</v>
      </c>
      <c r="H25" s="71">
        <v>2780.2</v>
      </c>
      <c r="I25" s="54">
        <v>3267.52</v>
      </c>
      <c r="J25" s="54">
        <v>3403.8</v>
      </c>
      <c r="K25" s="54">
        <v>3216.19</v>
      </c>
      <c r="L25" s="54">
        <v>3959.8</v>
      </c>
      <c r="M25" s="54">
        <v>3730.03</v>
      </c>
      <c r="N25" s="11">
        <f>174.9+0.49+33.48</f>
        <v>208.87</v>
      </c>
      <c r="O25" s="12">
        <f>174.9+0.25+17.05</f>
        <v>192.20000000000002</v>
      </c>
      <c r="P25" s="12">
        <f>353.4+0.74+51.21</f>
        <v>405.34999999999997</v>
      </c>
      <c r="Q25" s="12">
        <f>175+0.25+17.05</f>
        <v>192.3</v>
      </c>
      <c r="R25" s="12">
        <f>129+1.2+82.79</f>
        <v>212.99</v>
      </c>
      <c r="S25" s="12">
        <f>220.8+0.49+33.48</f>
        <v>254.77</v>
      </c>
      <c r="T25" s="12">
        <f>174.9+0.49+33.48</f>
        <v>208.87</v>
      </c>
      <c r="U25" s="12">
        <f>719.7+1.99+135.98</f>
        <v>857.6700000000001</v>
      </c>
      <c r="V25" s="12">
        <f>273.4+0.75+50.56</f>
        <v>324.71</v>
      </c>
      <c r="W25" s="12">
        <f>181.1+0.5+33.48</f>
        <v>215.07999999999998</v>
      </c>
      <c r="X25" s="12">
        <f>181.1+0.5+33.48</f>
        <v>215.07999999999998</v>
      </c>
      <c r="Y25" s="21">
        <f>181.1+0.5+33.48</f>
        <v>215.07999999999998</v>
      </c>
      <c r="Z25" s="57">
        <f t="shared" si="3"/>
        <v>3502.97</v>
      </c>
      <c r="AA25" s="33">
        <f t="shared" si="4"/>
        <v>31020.67</v>
      </c>
    </row>
    <row r="26" spans="1:27" ht="13.5" customHeight="1" thickBot="1">
      <c r="A26" s="45"/>
      <c r="B26" s="47" t="s">
        <v>59</v>
      </c>
      <c r="C26" s="62"/>
      <c r="D26" s="62"/>
      <c r="E26" s="72"/>
      <c r="F26" s="62"/>
      <c r="G26" s="62"/>
      <c r="H26" s="76">
        <f>H7*5%</f>
        <v>1174.0200000000002</v>
      </c>
      <c r="I26" s="78">
        <f>I7*5%</f>
        <v>1174.0200000000002</v>
      </c>
      <c r="J26" s="79">
        <f>J7*5%</f>
        <v>1174.0200000000002</v>
      </c>
      <c r="K26" s="79">
        <f>K7*5%</f>
        <v>854.9639999999999</v>
      </c>
      <c r="L26" s="79">
        <f>L7*5%</f>
        <v>854.9639999999999</v>
      </c>
      <c r="M26" s="79">
        <f>(M7+M8+M9)*5%</f>
        <v>1104.4080000000001</v>
      </c>
      <c r="N26" s="73">
        <f>(N7+N8+N9)*5%</f>
        <v>92.095</v>
      </c>
      <c r="O26" s="73">
        <f aca="true" t="shared" si="5" ref="O26:Y26">(O7+O8+O9)*5%</f>
        <v>92.095</v>
      </c>
      <c r="P26" s="73">
        <f t="shared" si="5"/>
        <v>92.095</v>
      </c>
      <c r="Q26" s="73">
        <f t="shared" si="5"/>
        <v>92.095</v>
      </c>
      <c r="R26" s="73">
        <f t="shared" si="5"/>
        <v>92.095</v>
      </c>
      <c r="S26" s="73">
        <f t="shared" si="5"/>
        <v>92.095</v>
      </c>
      <c r="T26" s="73">
        <f t="shared" si="5"/>
        <v>92.1855</v>
      </c>
      <c r="U26" s="73">
        <f t="shared" si="5"/>
        <v>92.1855</v>
      </c>
      <c r="V26" s="73">
        <f t="shared" si="5"/>
        <v>92.1855</v>
      </c>
      <c r="W26" s="73">
        <f t="shared" si="5"/>
        <v>92.1855</v>
      </c>
      <c r="X26" s="73">
        <f t="shared" si="5"/>
        <v>92.1855</v>
      </c>
      <c r="Y26" s="73">
        <f t="shared" si="5"/>
        <v>90.82650000000001</v>
      </c>
      <c r="Z26" s="78">
        <f t="shared" si="3"/>
        <v>1104.3240000000003</v>
      </c>
      <c r="AA26" s="33"/>
    </row>
    <row r="27" spans="1:27" ht="17.25" customHeight="1" thickBot="1">
      <c r="A27" s="45" t="s">
        <v>36</v>
      </c>
      <c r="B27" s="61" t="s">
        <v>49</v>
      </c>
      <c r="C27" s="62"/>
      <c r="D27" s="62"/>
      <c r="E27" s="72"/>
      <c r="F27" s="62"/>
      <c r="G27" s="62"/>
      <c r="H27" s="72"/>
      <c r="I27" s="62"/>
      <c r="J27" s="62"/>
      <c r="K27" s="78">
        <f>SUM(K7+K8+K9-K10)-K26</f>
        <v>-1.9039999999986321</v>
      </c>
      <c r="L27" s="78">
        <f>SUM(L7+L8+L9-L10)-L26</f>
        <v>-1101.9840000000004</v>
      </c>
      <c r="M27" s="78">
        <f>SUM(M7+M8-M10)-M26</f>
        <v>-6150.417999999997</v>
      </c>
      <c r="N27" s="74">
        <f>SUM(N7+N8+N9-N10)-N26</f>
        <v>152.89499999999956</v>
      </c>
      <c r="O27" s="74">
        <f>SUM(O7+O8+O9-O10)-O26</f>
        <v>343.69499999999994</v>
      </c>
      <c r="P27" s="74">
        <f>SUM(P7+P8+P9-P10)-P26</f>
        <v>99.60500000000005</v>
      </c>
      <c r="Q27" s="74">
        <f>SUM(Q7+Q8+Q9-Q10)-Q26</f>
        <v>350.0649999999998</v>
      </c>
      <c r="R27" s="74">
        <f>SUM(R7+R8+R9-R10)-R26</f>
        <v>296.5949999999998</v>
      </c>
      <c r="S27" s="74">
        <f aca="true" t="shared" si="6" ref="S27:Y27">SUM(S7+S8+S9-S10)-S26</f>
        <v>-2020.5950000000003</v>
      </c>
      <c r="T27" s="74">
        <f t="shared" si="6"/>
        <v>-216.67549999999977</v>
      </c>
      <c r="U27" s="74">
        <f t="shared" si="6"/>
        <v>-484.2654999999999</v>
      </c>
      <c r="V27" s="74">
        <f t="shared" si="6"/>
        <v>-1098.9855000000002</v>
      </c>
      <c r="W27" s="74">
        <f t="shared" si="6"/>
        <v>34.194500000000104</v>
      </c>
      <c r="X27" s="74">
        <f t="shared" si="6"/>
        <v>-27.055499999999668</v>
      </c>
      <c r="Y27" s="74">
        <f t="shared" si="6"/>
        <v>-643.8665000000002</v>
      </c>
      <c r="Z27" s="78">
        <f t="shared" si="3"/>
        <v>-3214.3940000000007</v>
      </c>
      <c r="AA27" s="33"/>
    </row>
    <row r="28" spans="1:27" ht="21" customHeight="1" thickBot="1">
      <c r="A28" s="81" t="s">
        <v>37</v>
      </c>
      <c r="B28" s="89" t="s">
        <v>20</v>
      </c>
      <c r="C28" s="90">
        <v>1395.62</v>
      </c>
      <c r="D28" s="90">
        <v>3260.66</v>
      </c>
      <c r="E28" s="83">
        <f>SUM(E7-E10)</f>
        <v>9625.970000000001</v>
      </c>
      <c r="F28" s="84">
        <f>SUM(F7-F10)</f>
        <v>2214.420000000002</v>
      </c>
      <c r="G28" s="84">
        <f>SUM(G7-G10)</f>
        <v>-8087.080000000002</v>
      </c>
      <c r="H28" s="91">
        <f>SUM(H7-H10)-H26</f>
        <v>1812.529999999999</v>
      </c>
      <c r="I28" s="92">
        <f>SUM(I7-I10)-I26</f>
        <v>1603.4900000000018</v>
      </c>
      <c r="J28" s="92">
        <f>SUM(J7-J10)-J26</f>
        <v>-617.0199999999966</v>
      </c>
      <c r="K28" s="92">
        <f>SUM(K7+K8+K9-K10)-K26</f>
        <v>-1.9039999999986321</v>
      </c>
      <c r="L28" s="92">
        <f>SUM(L7+L8+L9-L10)-L26</f>
        <v>-1101.9840000000004</v>
      </c>
      <c r="M28" s="92">
        <f>SUM(M7+M8-M10)-M26</f>
        <v>-6150.417999999997</v>
      </c>
      <c r="N28" s="74">
        <v>152.9</v>
      </c>
      <c r="O28" s="93">
        <f>SUM(O27+N28)</f>
        <v>496.5949999999999</v>
      </c>
      <c r="P28" s="93">
        <f aca="true" t="shared" si="7" ref="P28:Y28">SUM(P27+O28)</f>
        <v>596.1999999999999</v>
      </c>
      <c r="Q28" s="93">
        <f t="shared" si="7"/>
        <v>946.2649999999998</v>
      </c>
      <c r="R28" s="93">
        <f t="shared" si="7"/>
        <v>1242.8599999999997</v>
      </c>
      <c r="S28" s="93">
        <f t="shared" si="7"/>
        <v>-777.7350000000006</v>
      </c>
      <c r="T28" s="93">
        <f t="shared" si="7"/>
        <v>-994.4105000000004</v>
      </c>
      <c r="U28" s="93">
        <f t="shared" si="7"/>
        <v>-1478.6760000000004</v>
      </c>
      <c r="V28" s="93">
        <f t="shared" si="7"/>
        <v>-2577.6615000000006</v>
      </c>
      <c r="W28" s="93">
        <f t="shared" si="7"/>
        <v>-2543.4670000000006</v>
      </c>
      <c r="X28" s="93">
        <f t="shared" si="7"/>
        <v>-2570.5225</v>
      </c>
      <c r="Y28" s="93">
        <f t="shared" si="7"/>
        <v>-3214.389</v>
      </c>
      <c r="Z28" s="84"/>
      <c r="AA28" s="94"/>
    </row>
    <row r="29" spans="1:27" ht="21.75" customHeight="1" thickBot="1">
      <c r="A29" s="45" t="s">
        <v>38</v>
      </c>
      <c r="B29" s="41" t="s">
        <v>21</v>
      </c>
      <c r="C29" s="47">
        <v>1395.62</v>
      </c>
      <c r="D29" s="47">
        <v>4656.28</v>
      </c>
      <c r="E29" s="20">
        <f>SUM(E7-E10,D29)</f>
        <v>14282.25</v>
      </c>
      <c r="F29" s="57">
        <v>15612.38</v>
      </c>
      <c r="G29" s="57">
        <f>SUM(G7-G10,F29)</f>
        <v>7525.299999999997</v>
      </c>
      <c r="H29" s="77">
        <f>SUM(H28+G29)</f>
        <v>9337.829999999996</v>
      </c>
      <c r="I29" s="78">
        <f>SUM(I28+H29)</f>
        <v>10941.319999999998</v>
      </c>
      <c r="J29" s="78">
        <f>SUM(J28+I29)+0.03</f>
        <v>10324.330000000002</v>
      </c>
      <c r="K29" s="78">
        <f>SUM(K28+J29)</f>
        <v>10322.426000000003</v>
      </c>
      <c r="L29" s="78">
        <f>SUM(L28+K29)</f>
        <v>9220.442000000003</v>
      </c>
      <c r="M29" s="78">
        <f>SUM(M28+L29)</f>
        <v>3070.024000000006</v>
      </c>
      <c r="N29" s="78">
        <f>SUM(N28+M29)</f>
        <v>3222.924000000006</v>
      </c>
      <c r="O29" s="74">
        <f>SUM(O27+N29)</f>
        <v>3566.619000000006</v>
      </c>
      <c r="P29" s="74">
        <f aca="true" t="shared" si="8" ref="P29:X29">SUM(P27+O29)</f>
        <v>3666.224000000006</v>
      </c>
      <c r="Q29" s="74">
        <f t="shared" si="8"/>
        <v>4016.289000000006</v>
      </c>
      <c r="R29" s="74">
        <f t="shared" si="8"/>
        <v>4312.8840000000055</v>
      </c>
      <c r="S29" s="74">
        <f>SUM(S27+R29)</f>
        <v>2292.289000000005</v>
      </c>
      <c r="T29" s="74">
        <f t="shared" si="8"/>
        <v>2075.6135000000054</v>
      </c>
      <c r="U29" s="74">
        <f t="shared" si="8"/>
        <v>1591.3480000000054</v>
      </c>
      <c r="V29" s="74">
        <f t="shared" si="8"/>
        <v>492.3625000000052</v>
      </c>
      <c r="W29" s="74">
        <f t="shared" si="8"/>
        <v>526.5570000000052</v>
      </c>
      <c r="X29" s="74">
        <f t="shared" si="8"/>
        <v>499.5015000000056</v>
      </c>
      <c r="Y29" s="74">
        <f>SUM(Y27+X29)</f>
        <v>-144.3649999999946</v>
      </c>
      <c r="Z29" s="57"/>
      <c r="AA29" s="33"/>
    </row>
    <row r="30" spans="1:27" ht="23.25" hidden="1" thickBot="1">
      <c r="A30" s="45" t="s">
        <v>39</v>
      </c>
      <c r="B30" s="41" t="s">
        <v>5</v>
      </c>
      <c r="C30" s="47"/>
      <c r="D30" s="47"/>
      <c r="E30" s="47"/>
      <c r="F30" s="65"/>
      <c r="G30" s="65"/>
      <c r="H30" s="65"/>
      <c r="I30" s="65"/>
      <c r="J30" s="65"/>
      <c r="K30" s="65"/>
      <c r="L30" s="65"/>
      <c r="M30" s="65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2"/>
      <c r="Z30" s="57"/>
      <c r="AA30" s="26"/>
    </row>
    <row r="31" spans="1:27" ht="0.75" customHeight="1" hidden="1" thickBot="1">
      <c r="A31" s="46" t="s">
        <v>40</v>
      </c>
      <c r="B31" s="42" t="s">
        <v>22</v>
      </c>
      <c r="C31" s="49"/>
      <c r="D31" s="49"/>
      <c r="E31" s="49"/>
      <c r="F31" s="66"/>
      <c r="G31" s="66"/>
      <c r="H31" s="66"/>
      <c r="I31" s="66"/>
      <c r="J31" s="66"/>
      <c r="K31" s="66"/>
      <c r="L31" s="66"/>
      <c r="M31" s="66"/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23"/>
      <c r="Z31" s="58"/>
      <c r="AA31" s="25"/>
    </row>
    <row r="32" spans="1:27" ht="24" customHeight="1" hidden="1" thickBot="1">
      <c r="A32" s="46" t="s">
        <v>44</v>
      </c>
      <c r="B32" s="43" t="s">
        <v>45</v>
      </c>
      <c r="C32" s="50"/>
      <c r="D32" s="50"/>
      <c r="E32" s="50"/>
      <c r="F32" s="67"/>
      <c r="G32" s="67"/>
      <c r="H32" s="67"/>
      <c r="I32" s="67"/>
      <c r="J32" s="67"/>
      <c r="K32" s="67"/>
      <c r="L32" s="67"/>
      <c r="M32" s="67"/>
      <c r="N32" s="30"/>
      <c r="O32" s="30"/>
      <c r="P32" s="30"/>
      <c r="Q32" s="30"/>
      <c r="R32" s="30">
        <f aca="true" t="shared" si="9" ref="R32:X32">SUM(R30-R31)</f>
        <v>0</v>
      </c>
      <c r="S32" s="30">
        <f t="shared" si="9"/>
        <v>0</v>
      </c>
      <c r="T32" s="30">
        <f t="shared" si="9"/>
        <v>0</v>
      </c>
      <c r="U32" s="30">
        <f t="shared" si="9"/>
        <v>0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1">
        <f>SUM(Y28-Y30)</f>
        <v>-3214.389</v>
      </c>
      <c r="Z32" s="59"/>
      <c r="AA32" s="32"/>
    </row>
    <row r="33" spans="1:27" ht="24" customHeight="1" hidden="1" thickBot="1">
      <c r="A33" s="60" t="s">
        <v>48</v>
      </c>
      <c r="B33" s="43" t="s">
        <v>23</v>
      </c>
      <c r="C33" s="50"/>
      <c r="D33" s="50"/>
      <c r="E33" s="50"/>
      <c r="F33" s="67"/>
      <c r="G33" s="67"/>
      <c r="H33" s="67"/>
      <c r="I33" s="67"/>
      <c r="J33" s="67"/>
      <c r="K33" s="67"/>
      <c r="L33" s="67"/>
      <c r="M33" s="67"/>
      <c r="N33" s="30"/>
      <c r="O33" s="30"/>
      <c r="P33" s="30"/>
      <c r="Q33" s="30"/>
      <c r="R33" s="30">
        <f aca="true" t="shared" si="10" ref="R33:X33">SUM(R31-R32)</f>
        <v>0</v>
      </c>
      <c r="S33" s="30">
        <f t="shared" si="10"/>
        <v>0</v>
      </c>
      <c r="T33" s="30">
        <f t="shared" si="10"/>
        <v>0</v>
      </c>
      <c r="U33" s="30">
        <f t="shared" si="10"/>
        <v>0</v>
      </c>
      <c r="V33" s="30">
        <f t="shared" si="10"/>
        <v>0</v>
      </c>
      <c r="W33" s="30">
        <f t="shared" si="10"/>
        <v>0</v>
      </c>
      <c r="X33" s="30">
        <f t="shared" si="10"/>
        <v>0</v>
      </c>
      <c r="Y33" s="31">
        <f>SUM(Y29-Y31)</f>
        <v>-144.3649999999946</v>
      </c>
      <c r="Z33" s="59"/>
      <c r="AA33" s="32"/>
    </row>
    <row r="34" spans="2:27" ht="16.5" customHeight="1" hidden="1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9"/>
    </row>
    <row r="35" ht="17.25" customHeight="1">
      <c r="B35" t="s">
        <v>65</v>
      </c>
    </row>
    <row r="36" ht="4.5" customHeight="1" hidden="1"/>
    <row r="37" ht="12.75" hidden="1"/>
    <row r="38" ht="12.75" hidden="1"/>
    <row r="43" ht="12.75" customHeight="1"/>
    <row r="44" ht="12.75" customHeight="1"/>
  </sheetData>
  <sheetProtection/>
  <mergeCells count="5">
    <mergeCell ref="B4:AA4"/>
    <mergeCell ref="B5:AA5"/>
    <mergeCell ref="B3:AA3"/>
    <mergeCell ref="B1:P1"/>
    <mergeCell ref="B2:AA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2021-02-04T11:20:42Z</cp:lastPrinted>
  <dcterms:created xsi:type="dcterms:W3CDTF">2011-06-16T11:06:26Z</dcterms:created>
  <dcterms:modified xsi:type="dcterms:W3CDTF">2021-03-01T11:32:12Z</dcterms:modified>
  <cp:category/>
  <cp:version/>
  <cp:contentType/>
  <cp:contentStatus/>
</cp:coreProperties>
</file>