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<sst xmlns="http://schemas.openxmlformats.org/spreadsheetml/2006/main" count="77" uniqueCount="74">
  <si>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СПРАВКА</t>
  </si>
  <si>
    <t xml:space="preserve">Начислено  </t>
  </si>
  <si>
    <t>Расходы</t>
  </si>
  <si>
    <t>Услуги РИРЦ</t>
  </si>
  <si>
    <t>Наименование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</si>
  <si>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</si>
  <si>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</si>
  <si>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</si>
  <si>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</si>
  <si>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</si>
  <si>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</si>
  <si>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</si>
  <si>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</si>
  <si>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</si>
  <si>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</si>
  <si>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</si>
  <si>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</si>
  <si>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</si>
  <si>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</si>
  <si>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</si>
  <si>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</si>
  <si>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</si>
  <si>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</si>
  <si>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</si>
  <si>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</si>
  <si>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</si>
  <si>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</si>
  <si>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</si>
  <si>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</si>
  <si>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</si>
  <si>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</si>
  <si>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</si>
  <si>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</si>
  <si>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</si>
  <si>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</si>
  <si>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</si>
  <si>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</si>
  <si>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</si>
  <si>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</si>
  <si>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Результат за месяц</t>
  </si>
  <si>
    <t>Благоустройство территории</t>
  </si>
  <si>
    <t>4.12</t>
  </si>
  <si>
    <t>Тех.обслуживание газопровода</t>
  </si>
  <si>
    <t>рентабельность 5%</t>
  </si>
  <si>
    <t>Итого  за 2015 г</t>
  </si>
  <si>
    <t>по жилому дому г. Унеча ул. Иванова д.7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</si>
  <si>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</si>
  <si>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</si>
  <si>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</si>
  <si>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</si>
  <si>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4.3</t>
  </si>
  <si>
    <t>Исполнитель  вед. экономист /Викторова  Л.С./</t>
  </si>
  <si>
    <t xml:space="preserve">Услуги агентские,охрана труда,отопление, хол.вода, эл.энегрия   </t>
  </si>
  <si>
    <t>Итого  за 2016 г</t>
  </si>
  <si>
    <t>3820,06</t>
  </si>
  <si>
    <t>4897,23</t>
  </si>
  <si>
    <t>Итого  за 2017 г</t>
  </si>
  <si>
    <t>Начислено СОИД</t>
  </si>
  <si>
    <t>Электроэнергия СОИД</t>
  </si>
  <si>
    <t>Горячая вода СОИД</t>
  </si>
  <si>
    <t>Холодная вода СОИД</t>
  </si>
  <si>
    <t>Канализация СОИД</t>
  </si>
  <si>
    <t>Проверка вент.каналов</t>
  </si>
  <si>
    <t>4594,62</t>
  </si>
  <si>
    <t>Итого  за 2018 г</t>
  </si>
  <si>
    <t>5033,04</t>
  </si>
  <si>
    <t>Итого  за 2019 г</t>
  </si>
  <si>
    <t>Дом по ул.Иванова  д.7 вступил в ООО "Наш дом" с мая 2015 года    тариф 11,5 руб с января 2019 года 10,7 руб.</t>
  </si>
  <si>
    <t>ООО "НД УНЕЧА"</t>
  </si>
  <si>
    <t>74,55</t>
  </si>
  <si>
    <t>Итого  за 2020 г</t>
  </si>
  <si>
    <t>Всего за 2015-2020</t>
  </si>
  <si>
    <t>Утилизация</t>
  </si>
  <si>
    <t>Прочие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</si>
</sst>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5" xfId="0" applyFont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1" fillId="0" borderId="23" xfId="0" applyFont="1" applyBorder="1" applyAlignment="1">
      <alignment wrapText="1"/>
    </xf>
    <xf numFmtId="2" fontId="25" fillId="0" borderId="2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0" fontId="21" fillId="0" borderId="33" xfId="0" applyFont="1" applyBorder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21" fillId="0" borderId="26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0" fontId="21" fillId="0" borderId="34" xfId="0" applyFont="1" applyBorder="1" applyAlignment="1">
      <alignment wrapText="1"/>
    </xf>
    <xf numFmtId="49" fontId="21" fillId="0" borderId="15" xfId="0" applyNumberFormat="1" applyFont="1" applyBorder="1" applyAlignment="1">
      <alignment horizontal="right" wrapText="1"/>
    </xf>
    <xf numFmtId="0" fontId="26" fillId="0" borderId="15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49" fontId="27" fillId="0" borderId="22" xfId="0" applyNumberFormat="1" applyFont="1" applyBorder="1" applyAlignment="1">
      <alignment horizontal="right"/>
    </xf>
    <xf numFmtId="0" fontId="27" fillId="0" borderId="28" xfId="0" applyFont="1" applyBorder="1" applyAlignment="1">
      <alignment/>
    </xf>
    <xf numFmtId="0" fontId="22" fillId="0" borderId="0" xfId="0" applyFont="1" applyAlignment="1">
      <alignment/>
    </xf>
    <xf numFmtId="49" fontId="22" fillId="0" borderId="22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2" fontId="27" fillId="0" borderId="22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7" xfId="0" applyFont="1" applyBorder="1" applyAlignment="1">
      <alignment/>
    </xf>
    <xf numFmtId="49" fontId="25" fillId="0" borderId="19" xfId="0" applyNumberFormat="1" applyFont="1" applyBorder="1" applyAlignment="1">
      <alignment horizontal="right"/>
    </xf>
    <xf numFmtId="49" fontId="27" fillId="0" borderId="22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7">
      <selection activeCell="B11" sqref="B11"/>
    </sheetView>
  </sheetViews>
  <sheetFormatPr defaultColWidth="9.00390625" defaultRowHeight="12.75"/>
  <cols>
    <col min="1" max="1" width="3.25390625" style="12" customWidth="1"/>
    <col min="2" max="2" width="20.125" style="0" customWidth="1"/>
    <col min="3" max="3" width="8.375" style="0" hidden="1" customWidth="1"/>
    <col min="4" max="4" width="8.75390625" style="0" hidden="1" customWidth="1"/>
    <col min="5" max="5" width="9.25390625" style="0" hidden="1" customWidth="1"/>
    <col min="6" max="6" width="8.625" style="0" hidden="1" customWidth="1"/>
    <col min="7" max="7" width="9.875" style="0" hidden="1" customWidth="1"/>
    <col min="8" max="8" width="9.00390625" style="0" customWidth="1"/>
    <col min="9" max="9" width="8.125" style="0" customWidth="1"/>
    <col min="10" max="10" width="8.375" style="0" customWidth="1"/>
    <col min="11" max="11" width="8.25390625" style="0" customWidth="1"/>
    <col min="12" max="12" width="8.125" style="0" customWidth="1"/>
    <col min="13" max="14" width="8.75390625" style="0" customWidth="1"/>
    <col min="15" max="16" width="8.125" style="0" customWidth="1"/>
    <col min="17" max="18" width="8.25390625" style="0" customWidth="1"/>
    <col min="19" max="19" width="8.625" style="0" customWidth="1"/>
    <col min="20" max="20" width="9.125" style="0" customWidth="1"/>
    <col min="21" max="21" width="9.875" style="0" hidden="1" customWidth="1"/>
  </cols>
  <sheetData>
    <row r="1" spans="2:26" ht="12.75" customHeight="1">
      <c r="B1" s="71" t="s">
        <v>68</v>
      </c>
      <c r="C1" s="71"/>
      <c r="D1" s="71"/>
      <c r="E1" s="71"/>
      <c r="F1" s="71"/>
      <c r="G1" s="71"/>
      <c r="H1" s="71"/>
      <c r="I1" s="71"/>
      <c r="J1" s="7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5.75" customHeight="1">
      <c r="B2" s="71" t="s">
        <v>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2"/>
      <c r="T2" s="72"/>
      <c r="U2" s="4"/>
      <c r="V2" s="4"/>
      <c r="W2" s="4"/>
      <c r="X2" s="4"/>
      <c r="Y2" s="4"/>
      <c r="Z2" s="4"/>
    </row>
    <row r="3" spans="2:26" ht="12.75" customHeight="1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</row>
    <row r="4" spans="2:26" ht="15" customHeight="1">
      <c r="B4" s="69" t="s">
        <v>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2"/>
      <c r="W4" s="2"/>
      <c r="X4" s="2"/>
      <c r="Y4" s="2"/>
      <c r="Z4" s="2"/>
    </row>
    <row r="5" spans="2:26" ht="15" customHeight="1" thickBot="1">
      <c r="B5" s="69" t="s">
        <v>45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2"/>
      <c r="W5" s="2"/>
      <c r="X5" s="2"/>
      <c r="Y5" s="2"/>
      <c r="Z5" s="2"/>
    </row>
    <row r="6" spans="2:26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2"/>
      <c r="Z6" s="2"/>
    </row>
    <row r="7" spans="1:26" ht="36" customHeight="1" thickBot="1">
      <c r="A7" s="20" t="s">
        <v>21</v>
      </c>
      <c r="B7" s="13" t="s">
        <v>4</v>
      </c>
      <c r="C7" s="29" t="s">
        <v>44</v>
      </c>
      <c r="D7" s="29" t="s">
        <v>53</v>
      </c>
      <c r="E7" s="29" t="s">
        <v>56</v>
      </c>
      <c r="F7" s="29" t="s">
        <v>64</v>
      </c>
      <c r="G7" s="29" t="s">
        <v>66</v>
      </c>
      <c r="H7" s="29" t="s">
        <v>7</v>
      </c>
      <c r="I7" s="41" t="s">
        <v>8</v>
      </c>
      <c r="J7" s="29" t="s">
        <v>9</v>
      </c>
      <c r="K7" s="41" t="s">
        <v>10</v>
      </c>
      <c r="L7" s="29" t="s">
        <v>11</v>
      </c>
      <c r="M7" s="29" t="s">
        <v>12</v>
      </c>
      <c r="N7" s="41" t="s">
        <v>13</v>
      </c>
      <c r="O7" s="29" t="s">
        <v>14</v>
      </c>
      <c r="P7" s="41" t="s">
        <v>15</v>
      </c>
      <c r="Q7" s="29" t="s">
        <v>16</v>
      </c>
      <c r="R7" s="41" t="s">
        <v>18</v>
      </c>
      <c r="S7" s="29" t="s">
        <v>17</v>
      </c>
      <c r="T7" s="29" t="s">
        <v>70</v>
      </c>
      <c r="U7" s="24" t="s">
        <v>71</v>
      </c>
      <c r="V7" s="1"/>
      <c r="W7" s="1"/>
      <c r="X7" s="1"/>
      <c r="Y7" s="1"/>
      <c r="Z7" s="1"/>
    </row>
    <row r="8" spans="1:21" ht="13.5" thickBot="1">
      <c r="A8" s="21" t="s">
        <v>22</v>
      </c>
      <c r="B8" s="14" t="s">
        <v>1</v>
      </c>
      <c r="C8" s="14">
        <v>55213.38</v>
      </c>
      <c r="D8" s="54">
        <v>84555.16</v>
      </c>
      <c r="E8" s="54">
        <v>51998.4</v>
      </c>
      <c r="F8" s="54">
        <v>51998.4</v>
      </c>
      <c r="G8" s="54">
        <v>48381.12</v>
      </c>
      <c r="H8" s="37">
        <v>4031.76</v>
      </c>
      <c r="I8" s="37">
        <v>4031.76</v>
      </c>
      <c r="J8" s="37">
        <v>4031.76</v>
      </c>
      <c r="K8" s="37">
        <v>4031.76</v>
      </c>
      <c r="L8" s="37">
        <v>4031.76</v>
      </c>
      <c r="M8" s="37">
        <v>4031.76</v>
      </c>
      <c r="N8" s="37">
        <v>4031.76</v>
      </c>
      <c r="O8" s="37">
        <v>4031.76</v>
      </c>
      <c r="P8" s="68">
        <v>4031.76</v>
      </c>
      <c r="Q8" s="37">
        <v>4031.76</v>
      </c>
      <c r="R8" s="37">
        <v>4031.76</v>
      </c>
      <c r="S8" s="37">
        <v>4514.33</v>
      </c>
      <c r="T8" s="30">
        <f>SUM(H8:S8)</f>
        <v>48863.69000000002</v>
      </c>
      <c r="U8" s="34">
        <f>SUM(C8:S8)</f>
        <v>341010.15000000014</v>
      </c>
    </row>
    <row r="9" spans="1:21" ht="13.5" thickBot="1">
      <c r="A9" s="21" t="s">
        <v>22</v>
      </c>
      <c r="B9" s="14" t="s">
        <v>57</v>
      </c>
      <c r="C9" s="14"/>
      <c r="D9" s="54">
        <v>0</v>
      </c>
      <c r="E9" s="54">
        <v>5735.84</v>
      </c>
      <c r="F9" s="54">
        <v>4513.33</v>
      </c>
      <c r="G9" s="54">
        <v>1046.46</v>
      </c>
      <c r="H9" s="30">
        <f aca="true" t="shared" si="0" ref="H9:M9">13.24+21.08+54.83</f>
        <v>89.15</v>
      </c>
      <c r="I9" s="30">
        <f t="shared" si="0"/>
        <v>89.15</v>
      </c>
      <c r="J9" s="30">
        <f t="shared" si="0"/>
        <v>89.15</v>
      </c>
      <c r="K9" s="30">
        <f t="shared" si="0"/>
        <v>89.15</v>
      </c>
      <c r="L9" s="30">
        <f t="shared" si="0"/>
        <v>89.15</v>
      </c>
      <c r="M9" s="30">
        <f t="shared" si="0"/>
        <v>89.15</v>
      </c>
      <c r="N9" s="30">
        <f>13.76+21.13+56.79</f>
        <v>91.68</v>
      </c>
      <c r="O9" s="30">
        <f>13.76+21.13+56.79</f>
        <v>91.68</v>
      </c>
      <c r="P9" s="43">
        <f>13.76+21.13+56.79</f>
        <v>91.68</v>
      </c>
      <c r="Q9" s="30">
        <f>13.76+21.13+56.79</f>
        <v>91.68</v>
      </c>
      <c r="R9" s="30">
        <f>13.76+21.13+56.79</f>
        <v>91.68</v>
      </c>
      <c r="S9" s="30">
        <f>15.42+23.68+63.64</f>
        <v>102.74000000000001</v>
      </c>
      <c r="T9" s="30">
        <f>SUM(H9:S9)</f>
        <v>1096.0400000000002</v>
      </c>
      <c r="U9" s="34">
        <f aca="true" t="shared" si="1" ref="U9:U26">SUM(C9:S9)</f>
        <v>12391.67</v>
      </c>
    </row>
    <row r="10" spans="1:21" ht="13.5" thickBot="1">
      <c r="A10" s="21" t="s">
        <v>22</v>
      </c>
      <c r="B10" s="14" t="s">
        <v>73</v>
      </c>
      <c r="C10" s="14"/>
      <c r="D10" s="54">
        <v>0</v>
      </c>
      <c r="E10" s="54">
        <v>36450.96</v>
      </c>
      <c r="F10" s="54">
        <v>38946.1</v>
      </c>
      <c r="G10" s="54">
        <v>35920.47</v>
      </c>
      <c r="H10" s="30">
        <f>2972.13+400</f>
        <v>3372.13</v>
      </c>
      <c r="I10" s="30">
        <f>2694.81+400</f>
        <v>3094.81</v>
      </c>
      <c r="J10" s="30">
        <f>2694.81+400</f>
        <v>3094.81</v>
      </c>
      <c r="K10" s="30">
        <f>2694.81+400</f>
        <v>3094.81</v>
      </c>
      <c r="L10" s="30">
        <f>2694.81+400</f>
        <v>3094.81</v>
      </c>
      <c r="M10" s="30">
        <f>2694.81+400</f>
        <v>3094.81</v>
      </c>
      <c r="N10" s="40">
        <f>2717.46+400</f>
        <v>3117.46</v>
      </c>
      <c r="O10" s="40">
        <f>2717.46+400</f>
        <v>3117.46</v>
      </c>
      <c r="P10" s="40">
        <f>2717.46+400</f>
        <v>3117.46</v>
      </c>
      <c r="Q10" s="40">
        <f>2717.46+400</f>
        <v>3117.46</v>
      </c>
      <c r="R10" s="40">
        <f>2717.46+400</f>
        <v>3117.46</v>
      </c>
      <c r="S10" s="40">
        <f>2120.1+400</f>
        <v>2520.1</v>
      </c>
      <c r="T10" s="30">
        <f>SUM(H10:S10)</f>
        <v>36953.579999999994</v>
      </c>
      <c r="U10" s="34">
        <f t="shared" si="1"/>
        <v>148271.10999999996</v>
      </c>
    </row>
    <row r="11" spans="1:21" s="60" customFormat="1" ht="13.5" thickBot="1">
      <c r="A11" s="56" t="s">
        <v>23</v>
      </c>
      <c r="B11" s="55" t="s">
        <v>2</v>
      </c>
      <c r="C11" s="57">
        <f>SUM(C12:C26)</f>
        <v>24420.539999999997</v>
      </c>
      <c r="D11" s="58">
        <f>SUM(D12:D26)+4897.23</f>
        <v>46336.56</v>
      </c>
      <c r="E11" s="57">
        <v>53287.98</v>
      </c>
      <c r="F11" s="57">
        <v>66304.79</v>
      </c>
      <c r="G11" s="67">
        <f>SUM(G12:G26)+74.55</f>
        <v>49442.61</v>
      </c>
      <c r="H11" s="57">
        <f>SUM(H12:H26)</f>
        <v>3932.73</v>
      </c>
      <c r="I11" s="59">
        <f>SUM(I12:I26)</f>
        <v>3848</v>
      </c>
      <c r="J11" s="57">
        <f aca="true" t="shared" si="2" ref="J11:R11">SUM(J12:J26)</f>
        <v>3652.89</v>
      </c>
      <c r="K11" s="59">
        <f t="shared" si="2"/>
        <v>3523.51</v>
      </c>
      <c r="L11" s="57">
        <f t="shared" si="2"/>
        <v>3555.77</v>
      </c>
      <c r="M11" s="57">
        <f t="shared" si="2"/>
        <v>8094.639999999999</v>
      </c>
      <c r="N11" s="59">
        <f t="shared" si="2"/>
        <v>4941.3</v>
      </c>
      <c r="O11" s="57">
        <f t="shared" si="2"/>
        <v>3963.6900000000005</v>
      </c>
      <c r="P11" s="59">
        <f t="shared" si="2"/>
        <v>6351.08</v>
      </c>
      <c r="Q11" s="57">
        <f t="shared" si="2"/>
        <v>4277.639999999999</v>
      </c>
      <c r="R11" s="59">
        <f t="shared" si="2"/>
        <v>4776.07</v>
      </c>
      <c r="S11" s="57">
        <f>SUM(S12:S26)</f>
        <v>5010.38</v>
      </c>
      <c r="T11" s="57">
        <f>SUM(H11:S11)</f>
        <v>55927.7</v>
      </c>
      <c r="U11" s="34">
        <f t="shared" si="1"/>
        <v>295720.18000000005</v>
      </c>
    </row>
    <row r="12" spans="1:21" ht="13.5" thickBot="1">
      <c r="A12" s="21" t="s">
        <v>24</v>
      </c>
      <c r="B12" s="15" t="s">
        <v>72</v>
      </c>
      <c r="C12" s="53" t="s">
        <v>54</v>
      </c>
      <c r="D12" s="53" t="s">
        <v>55</v>
      </c>
      <c r="E12" s="53" t="s">
        <v>63</v>
      </c>
      <c r="F12" s="53" t="s">
        <v>65</v>
      </c>
      <c r="G12" s="53" t="s">
        <v>69</v>
      </c>
      <c r="H12" s="30"/>
      <c r="I12" s="43">
        <v>4.86</v>
      </c>
      <c r="J12" s="30">
        <v>5.65</v>
      </c>
      <c r="K12" s="43">
        <v>6.34</v>
      </c>
      <c r="L12" s="30">
        <v>11</v>
      </c>
      <c r="M12" s="30">
        <v>8.09</v>
      </c>
      <c r="N12" s="43">
        <v>12.83</v>
      </c>
      <c r="O12" s="37">
        <v>13.29</v>
      </c>
      <c r="P12" s="43">
        <v>31.54</v>
      </c>
      <c r="Q12" s="30">
        <v>13.53</v>
      </c>
      <c r="R12" s="43">
        <v>1.01</v>
      </c>
      <c r="S12" s="30">
        <v>1.34</v>
      </c>
      <c r="T12" s="31">
        <f aca="true" t="shared" si="3" ref="T12:T28">SUM(H12:S12)</f>
        <v>109.48</v>
      </c>
      <c r="U12" s="66">
        <f>SUM(C12:S12)+18344.95</f>
        <v>18454.43</v>
      </c>
    </row>
    <row r="13" spans="1:21" ht="14.25" customHeight="1" thickBot="1">
      <c r="A13" s="21" t="s">
        <v>25</v>
      </c>
      <c r="B13" s="16" t="s">
        <v>47</v>
      </c>
      <c r="C13" s="16">
        <v>758.3</v>
      </c>
      <c r="D13" s="16">
        <v>1612.87</v>
      </c>
      <c r="E13" s="16">
        <v>0</v>
      </c>
      <c r="F13" s="16">
        <v>110</v>
      </c>
      <c r="G13" s="16">
        <v>2778</v>
      </c>
      <c r="H13" s="38"/>
      <c r="I13" s="42"/>
      <c r="J13" s="38"/>
      <c r="K13" s="42"/>
      <c r="L13" s="38"/>
      <c r="M13" s="38"/>
      <c r="N13" s="42"/>
      <c r="O13" s="38"/>
      <c r="P13" s="42">
        <v>1376</v>
      </c>
      <c r="Q13" s="38"/>
      <c r="R13" s="42"/>
      <c r="S13" s="38"/>
      <c r="T13" s="31">
        <f t="shared" si="3"/>
        <v>1376</v>
      </c>
      <c r="U13" s="34">
        <f t="shared" si="1"/>
        <v>6635.17</v>
      </c>
    </row>
    <row r="14" spans="1:21" ht="21" customHeight="1" thickBot="1">
      <c r="A14" s="21" t="s">
        <v>50</v>
      </c>
      <c r="B14" s="16" t="s">
        <v>42</v>
      </c>
      <c r="C14" s="16">
        <v>0</v>
      </c>
      <c r="D14" s="16">
        <v>0</v>
      </c>
      <c r="E14" s="16">
        <v>4557.7</v>
      </c>
      <c r="F14" s="16">
        <v>5161.06</v>
      </c>
      <c r="G14" s="16">
        <v>4300.5</v>
      </c>
      <c r="H14" s="38"/>
      <c r="I14" s="42"/>
      <c r="J14" s="38"/>
      <c r="K14" s="42"/>
      <c r="L14" s="38"/>
      <c r="M14" s="38">
        <v>4501</v>
      </c>
      <c r="N14" s="42"/>
      <c r="O14" s="38"/>
      <c r="P14" s="42"/>
      <c r="Q14" s="38"/>
      <c r="R14" s="42"/>
      <c r="S14" s="38"/>
      <c r="T14" s="31">
        <f>SUM(H14:S14)</f>
        <v>4501</v>
      </c>
      <c r="U14" s="34">
        <f t="shared" si="1"/>
        <v>18520.260000000002</v>
      </c>
    </row>
    <row r="15" spans="1:21" ht="13.5" customHeight="1" thickBot="1">
      <c r="A15" s="21"/>
      <c r="B15" s="16" t="s">
        <v>62</v>
      </c>
      <c r="C15" s="16"/>
      <c r="D15" s="16"/>
      <c r="E15" s="16">
        <v>400</v>
      </c>
      <c r="F15" s="16">
        <v>400</v>
      </c>
      <c r="G15" s="16">
        <v>0</v>
      </c>
      <c r="H15" s="38"/>
      <c r="I15" s="42"/>
      <c r="J15" s="38"/>
      <c r="K15" s="42"/>
      <c r="L15" s="38"/>
      <c r="M15" s="38"/>
      <c r="N15" s="42"/>
      <c r="O15" s="38"/>
      <c r="P15" s="42"/>
      <c r="Q15" s="38"/>
      <c r="R15" s="42"/>
      <c r="S15" s="38"/>
      <c r="T15" s="31">
        <f>SUM(H15:S15)</f>
        <v>0</v>
      </c>
      <c r="U15" s="34">
        <f t="shared" si="1"/>
        <v>800</v>
      </c>
    </row>
    <row r="16" spans="1:21" ht="15" customHeight="1" thickBot="1">
      <c r="A16" s="21" t="s">
        <v>26</v>
      </c>
      <c r="B16" s="16" t="s">
        <v>46</v>
      </c>
      <c r="C16" s="16">
        <v>342.52</v>
      </c>
      <c r="D16" s="16">
        <v>5010.16</v>
      </c>
      <c r="E16" s="16">
        <v>1420.8</v>
      </c>
      <c r="F16" s="16">
        <v>9877.99</v>
      </c>
      <c r="G16" s="16">
        <v>645</v>
      </c>
      <c r="H16" s="38"/>
      <c r="I16" s="42"/>
      <c r="J16" s="38"/>
      <c r="K16" s="42"/>
      <c r="L16" s="38"/>
      <c r="M16" s="38">
        <v>145.65</v>
      </c>
      <c r="N16" s="42">
        <f>579.28+120</f>
        <v>699.28</v>
      </c>
      <c r="O16" s="38"/>
      <c r="P16" s="42">
        <v>910</v>
      </c>
      <c r="Q16" s="38">
        <v>30</v>
      </c>
      <c r="R16" s="42"/>
      <c r="S16" s="38"/>
      <c r="T16" s="31">
        <f t="shared" si="3"/>
        <v>1784.9299999999998</v>
      </c>
      <c r="U16" s="34">
        <f t="shared" si="1"/>
        <v>19081.4</v>
      </c>
    </row>
    <row r="17" spans="1:21" ht="14.25" customHeight="1" thickBot="1">
      <c r="A17" s="21" t="s">
        <v>27</v>
      </c>
      <c r="B17" s="16" t="s">
        <v>40</v>
      </c>
      <c r="C17" s="16">
        <v>0</v>
      </c>
      <c r="D17" s="16">
        <v>186</v>
      </c>
      <c r="E17" s="16">
        <v>36.77</v>
      </c>
      <c r="F17" s="16">
        <v>78</v>
      </c>
      <c r="G17" s="16">
        <v>29.56</v>
      </c>
      <c r="H17" s="38">
        <v>80</v>
      </c>
      <c r="I17" s="42"/>
      <c r="J17" s="38"/>
      <c r="K17" s="42"/>
      <c r="L17" s="38"/>
      <c r="M17" s="38"/>
      <c r="N17" s="42"/>
      <c r="O17" s="38"/>
      <c r="P17" s="42"/>
      <c r="Q17" s="38"/>
      <c r="R17" s="42"/>
      <c r="S17" s="38"/>
      <c r="T17" s="31">
        <f t="shared" si="3"/>
        <v>80</v>
      </c>
      <c r="U17" s="34">
        <f t="shared" si="1"/>
        <v>410.33</v>
      </c>
    </row>
    <row r="18" spans="1:21" ht="15" customHeight="1" thickBot="1">
      <c r="A18" s="21" t="s">
        <v>28</v>
      </c>
      <c r="B18" s="16" t="s">
        <v>58</v>
      </c>
      <c r="C18" s="16">
        <v>0</v>
      </c>
      <c r="D18" s="16">
        <v>0</v>
      </c>
      <c r="E18" s="16">
        <v>4730.76</v>
      </c>
      <c r="F18" s="16">
        <v>3499.39</v>
      </c>
      <c r="G18" s="16">
        <v>0</v>
      </c>
      <c r="H18" s="38"/>
      <c r="I18" s="42"/>
      <c r="J18" s="38"/>
      <c r="K18" s="38"/>
      <c r="L18" s="38"/>
      <c r="M18" s="38"/>
      <c r="N18" s="42"/>
      <c r="O18" s="38"/>
      <c r="P18" s="42"/>
      <c r="Q18" s="38"/>
      <c r="R18" s="42"/>
      <c r="S18" s="38"/>
      <c r="T18" s="31">
        <f t="shared" si="3"/>
        <v>0</v>
      </c>
      <c r="U18" s="34">
        <f t="shared" si="1"/>
        <v>8230.15</v>
      </c>
    </row>
    <row r="19" spans="1:21" ht="15" customHeight="1" thickBot="1">
      <c r="A19" s="21"/>
      <c r="B19" s="16" t="s">
        <v>60</v>
      </c>
      <c r="C19" s="16"/>
      <c r="D19" s="16"/>
      <c r="E19" s="16">
        <v>231.62</v>
      </c>
      <c r="F19" s="16">
        <v>239.28</v>
      </c>
      <c r="G19" s="16">
        <v>242.22</v>
      </c>
      <c r="H19" s="38">
        <v>20.37</v>
      </c>
      <c r="I19" s="38">
        <v>20.37</v>
      </c>
      <c r="J19" s="38">
        <v>20.37</v>
      </c>
      <c r="K19" s="38">
        <v>20.37</v>
      </c>
      <c r="L19" s="38">
        <v>20.37</v>
      </c>
      <c r="M19" s="38">
        <v>20.37</v>
      </c>
      <c r="N19" s="38">
        <v>21.2</v>
      </c>
      <c r="O19" s="38">
        <v>21.2</v>
      </c>
      <c r="P19" s="38">
        <v>21.2</v>
      </c>
      <c r="Q19" s="38">
        <v>21.2</v>
      </c>
      <c r="R19" s="38">
        <v>21.2</v>
      </c>
      <c r="S19" s="38">
        <v>21.2</v>
      </c>
      <c r="T19" s="31">
        <f>SUM(H19:S19)</f>
        <v>249.41999999999996</v>
      </c>
      <c r="U19" s="34">
        <f t="shared" si="1"/>
        <v>962.5400000000003</v>
      </c>
    </row>
    <row r="20" spans="1:21" ht="15" customHeight="1" thickBot="1">
      <c r="A20" s="21"/>
      <c r="B20" s="16" t="s">
        <v>59</v>
      </c>
      <c r="C20" s="16"/>
      <c r="D20" s="16"/>
      <c r="E20" s="16">
        <v>1203.33</v>
      </c>
      <c r="F20" s="16">
        <v>1073.22</v>
      </c>
      <c r="G20" s="16">
        <v>1173.3</v>
      </c>
      <c r="H20" s="38">
        <v>93.06</v>
      </c>
      <c r="I20" s="38">
        <v>93.06</v>
      </c>
      <c r="J20" s="38">
        <v>93.06</v>
      </c>
      <c r="K20" s="38">
        <v>93.06</v>
      </c>
      <c r="L20" s="38">
        <v>93.06</v>
      </c>
      <c r="M20" s="38">
        <v>93.06</v>
      </c>
      <c r="N20" s="38">
        <v>96.39</v>
      </c>
      <c r="O20" s="38">
        <v>96.39</v>
      </c>
      <c r="P20" s="38">
        <v>96.39</v>
      </c>
      <c r="Q20" s="38">
        <v>96.39</v>
      </c>
      <c r="R20" s="38">
        <v>103.25</v>
      </c>
      <c r="S20" s="38">
        <v>103.25</v>
      </c>
      <c r="T20" s="31">
        <f>SUM(H20:S20)</f>
        <v>1150.42</v>
      </c>
      <c r="U20" s="34">
        <f t="shared" si="1"/>
        <v>4600.270000000001</v>
      </c>
    </row>
    <row r="21" spans="1:21" ht="15" customHeight="1" thickBot="1">
      <c r="A21" s="21"/>
      <c r="B21" s="16" t="s">
        <v>61</v>
      </c>
      <c r="C21" s="16"/>
      <c r="D21" s="16"/>
      <c r="E21" s="16">
        <v>201.69</v>
      </c>
      <c r="F21" s="16">
        <v>348.42</v>
      </c>
      <c r="G21" s="16">
        <v>376.17</v>
      </c>
      <c r="H21" s="38">
        <v>34.41</v>
      </c>
      <c r="I21" s="38">
        <v>34.41</v>
      </c>
      <c r="J21" s="38">
        <v>34.41</v>
      </c>
      <c r="K21" s="38">
        <v>34.41</v>
      </c>
      <c r="L21" s="38">
        <v>34.41</v>
      </c>
      <c r="M21" s="38">
        <v>34.41</v>
      </c>
      <c r="N21" s="38">
        <v>32.54</v>
      </c>
      <c r="O21" s="38">
        <v>32.54</v>
      </c>
      <c r="P21" s="38">
        <v>32.54</v>
      </c>
      <c r="Q21" s="38">
        <v>32.54</v>
      </c>
      <c r="R21" s="38">
        <v>32.54</v>
      </c>
      <c r="S21" s="38">
        <v>32.54</v>
      </c>
      <c r="T21" s="31">
        <f>SUM(H21:S21)</f>
        <v>401.70000000000005</v>
      </c>
      <c r="U21" s="34">
        <f t="shared" si="1"/>
        <v>1327.98</v>
      </c>
    </row>
    <row r="22" spans="1:21" ht="33.75" customHeight="1" thickBot="1">
      <c r="A22" s="21" t="s">
        <v>29</v>
      </c>
      <c r="B22" s="16" t="s">
        <v>48</v>
      </c>
      <c r="C22" s="16">
        <v>1229.72</v>
      </c>
      <c r="D22" s="16">
        <v>1911.86</v>
      </c>
      <c r="E22" s="16">
        <v>1945.55</v>
      </c>
      <c r="F22" s="16">
        <v>2044.51</v>
      </c>
      <c r="G22" s="16">
        <v>1655.05</v>
      </c>
      <c r="H22" s="38">
        <v>121.55</v>
      </c>
      <c r="I22" s="42">
        <v>108.96</v>
      </c>
      <c r="J22" s="38">
        <v>135.46</v>
      </c>
      <c r="K22" s="42">
        <v>105.9</v>
      </c>
      <c r="L22" s="38">
        <v>109.57</v>
      </c>
      <c r="M22" s="38">
        <v>110.6</v>
      </c>
      <c r="N22" s="42">
        <v>127.91</v>
      </c>
      <c r="O22" s="38">
        <v>159.41</v>
      </c>
      <c r="P22" s="42">
        <v>152.97</v>
      </c>
      <c r="Q22" s="38">
        <v>177.8</v>
      </c>
      <c r="R22" s="42">
        <v>185.32</v>
      </c>
      <c r="S22" s="38">
        <v>169.01</v>
      </c>
      <c r="T22" s="31">
        <f t="shared" si="3"/>
        <v>1664.4599999999998</v>
      </c>
      <c r="U22" s="34">
        <f t="shared" si="1"/>
        <v>10451.149999999996</v>
      </c>
    </row>
    <row r="23" spans="1:21" ht="22.5" customHeight="1" thickBot="1">
      <c r="A23" s="21" t="s">
        <v>30</v>
      </c>
      <c r="B23" s="16" t="s">
        <v>49</v>
      </c>
      <c r="C23" s="16">
        <v>243</v>
      </c>
      <c r="D23" s="16">
        <v>272.02</v>
      </c>
      <c r="E23" s="16">
        <v>212.81</v>
      </c>
      <c r="F23" s="16">
        <v>206.24</v>
      </c>
      <c r="G23" s="16">
        <v>187.41</v>
      </c>
      <c r="H23" s="38">
        <v>6.98</v>
      </c>
      <c r="I23" s="42">
        <v>9.89</v>
      </c>
      <c r="J23" s="38">
        <v>9.47</v>
      </c>
      <c r="K23" s="42">
        <v>9.47</v>
      </c>
      <c r="L23" s="38">
        <v>9.23</v>
      </c>
      <c r="M23" s="38">
        <v>8.07</v>
      </c>
      <c r="N23" s="42">
        <v>18.19</v>
      </c>
      <c r="O23" s="38">
        <v>9.44</v>
      </c>
      <c r="P23" s="42">
        <v>0</v>
      </c>
      <c r="Q23" s="38">
        <v>17.41</v>
      </c>
      <c r="R23" s="42">
        <v>8.39</v>
      </c>
      <c r="S23" s="38">
        <v>22.83</v>
      </c>
      <c r="T23" s="31">
        <f t="shared" si="3"/>
        <v>129.37</v>
      </c>
      <c r="U23" s="34">
        <f t="shared" si="1"/>
        <v>1250.8500000000004</v>
      </c>
    </row>
    <row r="24" spans="1:21" ht="33" customHeight="1" thickBot="1">
      <c r="A24" s="21" t="s">
        <v>31</v>
      </c>
      <c r="B24" s="16" t="s">
        <v>52</v>
      </c>
      <c r="C24" s="16">
        <v>1472.97</v>
      </c>
      <c r="D24" s="16">
        <v>1988.52</v>
      </c>
      <c r="E24" s="16">
        <v>2010.96</v>
      </c>
      <c r="F24" s="16">
        <v>2299.16</v>
      </c>
      <c r="G24" s="16">
        <v>2499.99</v>
      </c>
      <c r="H24" s="38">
        <f>4.96+65.4+106.64</f>
        <v>177</v>
      </c>
      <c r="I24" s="42">
        <f>5.15+76.82+114.41</f>
        <v>196.38</v>
      </c>
      <c r="J24" s="38">
        <f>4.91+69.3+117.29</f>
        <v>191.5</v>
      </c>
      <c r="K24" s="42">
        <f>6.1+81.52+109.5</f>
        <v>197.12</v>
      </c>
      <c r="L24" s="38">
        <f>5.14+101.87+108.68</f>
        <v>215.69</v>
      </c>
      <c r="M24" s="38">
        <f>4.98+85.99+102.51</f>
        <v>193.48000000000002</v>
      </c>
      <c r="N24" s="42">
        <f>5.39+70.18+104</f>
        <v>179.57</v>
      </c>
      <c r="O24" s="38">
        <f>100.92+5.09+70.77</f>
        <v>176.78</v>
      </c>
      <c r="P24" s="42">
        <f>5.77+91.22+155.84</f>
        <v>252.82999999999998</v>
      </c>
      <c r="Q24" s="38">
        <f>5.37+152.33+151.67</f>
        <v>309.37</v>
      </c>
      <c r="R24" s="42">
        <f>6.61+137.11+163.64</f>
        <v>307.36</v>
      </c>
      <c r="S24" s="38">
        <f>7.45+190.32+150</f>
        <v>347.77</v>
      </c>
      <c r="T24" s="31">
        <f t="shared" si="3"/>
        <v>2744.85</v>
      </c>
      <c r="U24" s="34">
        <f t="shared" si="1"/>
        <v>13016.45</v>
      </c>
    </row>
    <row r="25" spans="1:21" ht="13.5" customHeight="1" thickBot="1">
      <c r="A25" s="21" t="s">
        <v>32</v>
      </c>
      <c r="B25" s="16" t="s">
        <v>5</v>
      </c>
      <c r="C25" s="16">
        <v>15388.41</v>
      </c>
      <c r="D25" s="16">
        <v>21949.78</v>
      </c>
      <c r="E25" s="16">
        <v>22557.39</v>
      </c>
      <c r="F25" s="16">
        <v>25909.19</v>
      </c>
      <c r="G25" s="16">
        <v>25988.71</v>
      </c>
      <c r="H25" s="38">
        <f>3932.73-1424.5</f>
        <v>2508.23</v>
      </c>
      <c r="I25" s="42">
        <f>3848-1562.27</f>
        <v>2285.73</v>
      </c>
      <c r="J25" s="38">
        <f>3652.89-1321.53</f>
        <v>2331.3599999999997</v>
      </c>
      <c r="K25" s="42">
        <f>3523.51-1251.13</f>
        <v>2272.38</v>
      </c>
      <c r="L25" s="38">
        <f>3555.77-1238.35</f>
        <v>2317.42</v>
      </c>
      <c r="M25" s="38">
        <f>8094.64-5769.26</f>
        <v>2325.38</v>
      </c>
      <c r="N25" s="42">
        <f>4941.3-2319.61</f>
        <v>2621.69</v>
      </c>
      <c r="O25" s="38">
        <f>3963.69-1358.69</f>
        <v>2605</v>
      </c>
      <c r="P25" s="42">
        <f>6351.08-3685.87</f>
        <v>2665.21</v>
      </c>
      <c r="Q25" s="38">
        <f>4277.64-1559.39</f>
        <v>2718.25</v>
      </c>
      <c r="R25" s="42">
        <f>4776.07-1497.97</f>
        <v>3278.0999999999995</v>
      </c>
      <c r="S25" s="38">
        <f>5010.38-1638.94</f>
        <v>3371.44</v>
      </c>
      <c r="T25" s="31">
        <f t="shared" si="3"/>
        <v>31300.189999999995</v>
      </c>
      <c r="U25" s="34">
        <f t="shared" si="1"/>
        <v>143093.67</v>
      </c>
    </row>
    <row r="26" spans="1:21" ht="13.5" customHeight="1" thickBot="1">
      <c r="A26" s="21" t="s">
        <v>41</v>
      </c>
      <c r="B26" s="17" t="s">
        <v>3</v>
      </c>
      <c r="C26" s="52">
        <v>4985.62</v>
      </c>
      <c r="D26" s="52">
        <v>8508.12</v>
      </c>
      <c r="E26" s="52">
        <v>9183.98</v>
      </c>
      <c r="F26" s="52">
        <v>10025.29</v>
      </c>
      <c r="G26" s="52">
        <v>9492.15</v>
      </c>
      <c r="H26" s="47">
        <f>731.1+3.46+156.57</f>
        <v>891.1300000000001</v>
      </c>
      <c r="I26" s="44">
        <f>888+4.46+201.88</f>
        <v>1094.3400000000001</v>
      </c>
      <c r="J26" s="30">
        <f>676+3.37+152.24</f>
        <v>831.61</v>
      </c>
      <c r="K26" s="44">
        <f>637.3+3.18+143.98</f>
        <v>784.4599999999999</v>
      </c>
      <c r="L26" s="39">
        <f>604.9+3.03+137.09</f>
        <v>745.02</v>
      </c>
      <c r="M26" s="39">
        <f>531.3+2.67+120.56</f>
        <v>654.53</v>
      </c>
      <c r="N26" s="44">
        <f>919.8+4.59+207.31</f>
        <v>1131.7</v>
      </c>
      <c r="O26" s="39">
        <f>694+3.46+152.18</f>
        <v>849.6400000000001</v>
      </c>
      <c r="P26" s="44">
        <f>656.7+3.46+152.24</f>
        <v>812.4000000000001</v>
      </c>
      <c r="Q26" s="39">
        <f>705.4+3.46+152.29</f>
        <v>861.15</v>
      </c>
      <c r="R26" s="44">
        <f>683.2+3.46+152.24</f>
        <v>838.9000000000001</v>
      </c>
      <c r="S26" s="39">
        <f>766.7+3.68+170.62</f>
        <v>941</v>
      </c>
      <c r="T26" s="31">
        <f t="shared" si="3"/>
        <v>10435.88</v>
      </c>
      <c r="U26" s="34">
        <f t="shared" si="1"/>
        <v>52631.04</v>
      </c>
    </row>
    <row r="27" spans="1:21" ht="12" customHeight="1" thickBot="1">
      <c r="A27" s="21"/>
      <c r="B27" s="23" t="s">
        <v>43</v>
      </c>
      <c r="C27" s="45">
        <f>C8*5%</f>
        <v>2760.669</v>
      </c>
      <c r="D27" s="45">
        <f>D8*5%</f>
        <v>4227.758000000001</v>
      </c>
      <c r="E27" s="45">
        <f>E8*5%</f>
        <v>2599.92</v>
      </c>
      <c r="F27" s="45">
        <f>F8*5%</f>
        <v>2599.92</v>
      </c>
      <c r="G27" s="45">
        <f>(G8+G9+G10)*5%</f>
        <v>4267.4025</v>
      </c>
      <c r="H27" s="45">
        <f>(H8+H9+H10)*5%</f>
        <v>374.65200000000004</v>
      </c>
      <c r="I27" s="45">
        <f aca="true" t="shared" si="4" ref="I27:S27">(I8+I9+I10)*5%</f>
        <v>360.786</v>
      </c>
      <c r="J27" s="45">
        <f t="shared" si="4"/>
        <v>360.786</v>
      </c>
      <c r="K27" s="45">
        <f t="shared" si="4"/>
        <v>360.786</v>
      </c>
      <c r="L27" s="45">
        <f t="shared" si="4"/>
        <v>360.786</v>
      </c>
      <c r="M27" s="45">
        <f t="shared" si="4"/>
        <v>360.786</v>
      </c>
      <c r="N27" s="45">
        <f t="shared" si="4"/>
        <v>362.0450000000001</v>
      </c>
      <c r="O27" s="45">
        <f t="shared" si="4"/>
        <v>362.0450000000001</v>
      </c>
      <c r="P27" s="45">
        <f t="shared" si="4"/>
        <v>362.0450000000001</v>
      </c>
      <c r="Q27" s="45">
        <f t="shared" si="4"/>
        <v>362.0450000000001</v>
      </c>
      <c r="R27" s="45">
        <f t="shared" si="4"/>
        <v>362.0450000000001</v>
      </c>
      <c r="S27" s="45">
        <f t="shared" si="4"/>
        <v>356.85850000000005</v>
      </c>
      <c r="T27" s="45">
        <f t="shared" si="3"/>
        <v>4345.665500000001</v>
      </c>
      <c r="U27" s="36"/>
    </row>
    <row r="28" spans="1:21" ht="13.5" customHeight="1" thickBot="1">
      <c r="A28" s="48" t="s">
        <v>33</v>
      </c>
      <c r="B28" s="35" t="s">
        <v>39</v>
      </c>
      <c r="C28" s="35"/>
      <c r="D28" s="35"/>
      <c r="E28" s="46">
        <f aca="true" t="shared" si="5" ref="E28:S28">SUM(E8+E9+E10-E11)-E27</f>
        <v>38297.30000000001</v>
      </c>
      <c r="F28" s="46">
        <f>SUM(F8+F9+F10-F11)-F27</f>
        <v>26553.12000000001</v>
      </c>
      <c r="G28" s="46">
        <f>SUM(G8+G9+G10-G11)-G27</f>
        <v>31638.037500000002</v>
      </c>
      <c r="H28" s="46">
        <f t="shared" si="5"/>
        <v>3185.658</v>
      </c>
      <c r="I28" s="46">
        <f t="shared" si="5"/>
        <v>3006.9339999999993</v>
      </c>
      <c r="J28" s="46">
        <f t="shared" si="5"/>
        <v>3202.0439999999994</v>
      </c>
      <c r="K28" s="46">
        <f t="shared" si="5"/>
        <v>3331.423999999999</v>
      </c>
      <c r="L28" s="46">
        <f t="shared" si="5"/>
        <v>3299.1639999999993</v>
      </c>
      <c r="M28" s="46">
        <f t="shared" si="5"/>
        <v>-1239.7060000000001</v>
      </c>
      <c r="N28" s="46">
        <f t="shared" si="5"/>
        <v>1937.5550000000003</v>
      </c>
      <c r="O28" s="46">
        <f t="shared" si="5"/>
        <v>2915.165</v>
      </c>
      <c r="P28" s="46">
        <f t="shared" si="5"/>
        <v>527.7750000000005</v>
      </c>
      <c r="Q28" s="46">
        <f t="shared" si="5"/>
        <v>2601.215000000001</v>
      </c>
      <c r="R28" s="46">
        <f t="shared" si="5"/>
        <v>2102.7850000000008</v>
      </c>
      <c r="S28" s="46">
        <f t="shared" si="5"/>
        <v>1769.9315</v>
      </c>
      <c r="T28" s="46">
        <f t="shared" si="3"/>
        <v>26639.944499999998</v>
      </c>
      <c r="U28" s="36"/>
    </row>
    <row r="29" spans="1:21" ht="27" customHeight="1" thickBot="1">
      <c r="A29" s="61" t="s">
        <v>34</v>
      </c>
      <c r="B29" s="62" t="s">
        <v>19</v>
      </c>
      <c r="C29" s="62">
        <v>24212.11</v>
      </c>
      <c r="D29" s="63">
        <f>SUM(D8-D11)-D27</f>
        <v>33990.842000000004</v>
      </c>
      <c r="E29" s="63">
        <f>SUM(E8+E9+E10-E11)-E27</f>
        <v>38297.30000000001</v>
      </c>
      <c r="F29" s="63">
        <f>SUM(F8+F9+F10-F11)-F27</f>
        <v>26553.12000000001</v>
      </c>
      <c r="G29" s="63">
        <f>SUM(G8+G9+G10-G11)-G27</f>
        <v>31638.037500000002</v>
      </c>
      <c r="H29" s="63">
        <f>SUM(H8+H9+H10-H11)-H27</f>
        <v>3185.658</v>
      </c>
      <c r="I29" s="63">
        <f>SUM(I28+H29)</f>
        <v>6192.591999999999</v>
      </c>
      <c r="J29" s="63">
        <f aca="true" t="shared" si="6" ref="J29:S29">SUM(J28+I29)</f>
        <v>9394.635999999999</v>
      </c>
      <c r="K29" s="63">
        <f t="shared" si="6"/>
        <v>12726.059999999998</v>
      </c>
      <c r="L29" s="63">
        <f t="shared" si="6"/>
        <v>16025.223999999997</v>
      </c>
      <c r="M29" s="63">
        <f t="shared" si="6"/>
        <v>14785.517999999996</v>
      </c>
      <c r="N29" s="63">
        <f t="shared" si="6"/>
        <v>16723.072999999997</v>
      </c>
      <c r="O29" s="63">
        <f t="shared" si="6"/>
        <v>19638.237999999998</v>
      </c>
      <c r="P29" s="63">
        <f t="shared" si="6"/>
        <v>20166.013</v>
      </c>
      <c r="Q29" s="63">
        <f t="shared" si="6"/>
        <v>22767.228</v>
      </c>
      <c r="R29" s="63">
        <f t="shared" si="6"/>
        <v>24870.013</v>
      </c>
      <c r="S29" s="63">
        <f t="shared" si="6"/>
        <v>26639.944499999998</v>
      </c>
      <c r="T29" s="64"/>
      <c r="U29" s="65"/>
    </row>
    <row r="30" spans="1:21" ht="23.25" customHeight="1" hidden="1" thickBot="1">
      <c r="A30" s="49" t="s">
        <v>35</v>
      </c>
      <c r="B30" s="50" t="s">
        <v>20</v>
      </c>
      <c r="C30" s="50">
        <v>24212.11</v>
      </c>
      <c r="D30" s="51">
        <f>SUM(D29+C30)</f>
        <v>58202.952000000005</v>
      </c>
      <c r="E30" s="51">
        <f>SUM(E29+D30)</f>
        <v>96500.25200000001</v>
      </c>
      <c r="F30" s="51">
        <f>SUM(F29+E30)</f>
        <v>123053.37200000002</v>
      </c>
      <c r="G30" s="51">
        <f>SUM(G29+F30)-111317.53</f>
        <v>43373.87950000001</v>
      </c>
      <c r="H30" s="51">
        <f>SUM(H29+G30)</f>
        <v>46559.53750000001</v>
      </c>
      <c r="I30" s="51">
        <f aca="true" t="shared" si="7" ref="I30:S30">SUM(I28+H30)</f>
        <v>49566.471500000014</v>
      </c>
      <c r="J30" s="51">
        <f t="shared" si="7"/>
        <v>52768.515500000016</v>
      </c>
      <c r="K30" s="51">
        <f t="shared" si="7"/>
        <v>56099.939500000015</v>
      </c>
      <c r="L30" s="51">
        <f t="shared" si="7"/>
        <v>59399.10350000001</v>
      </c>
      <c r="M30" s="51">
        <f t="shared" si="7"/>
        <v>58159.397500000014</v>
      </c>
      <c r="N30" s="51">
        <f t="shared" si="7"/>
        <v>60096.952500000014</v>
      </c>
      <c r="O30" s="51">
        <f t="shared" si="7"/>
        <v>63012.117500000015</v>
      </c>
      <c r="P30" s="51">
        <f>SUM(P28+O30)</f>
        <v>63539.892500000016</v>
      </c>
      <c r="Q30" s="51">
        <f t="shared" si="7"/>
        <v>66141.10750000001</v>
      </c>
      <c r="R30" s="51">
        <f t="shared" si="7"/>
        <v>68243.89250000002</v>
      </c>
      <c r="S30" s="51">
        <f t="shared" si="7"/>
        <v>70013.82400000002</v>
      </c>
      <c r="T30" s="40"/>
      <c r="U30" s="25"/>
    </row>
    <row r="31" spans="1:21" ht="0.75" customHeight="1" hidden="1" thickBot="1">
      <c r="A31" s="21" t="s">
        <v>35</v>
      </c>
      <c r="B31" s="23"/>
      <c r="C31" s="50"/>
      <c r="D31" s="50"/>
      <c r="E31" s="50"/>
      <c r="F31" s="50"/>
      <c r="G31" s="50"/>
      <c r="H31" s="40"/>
      <c r="I31" s="40"/>
      <c r="J31" s="5"/>
      <c r="K31" s="6"/>
      <c r="L31" s="6"/>
      <c r="M31" s="6"/>
      <c r="N31" s="6"/>
      <c r="O31" s="6"/>
      <c r="P31" s="6"/>
      <c r="Q31" s="6"/>
      <c r="R31" s="6"/>
      <c r="S31" s="7"/>
      <c r="T31" s="32"/>
      <c r="U31" s="26"/>
    </row>
    <row r="32" spans="1:21" ht="16.5" customHeight="1" hidden="1" thickBot="1">
      <c r="A32" s="21" t="s">
        <v>36</v>
      </c>
      <c r="B32" s="18"/>
      <c r="C32" s="18"/>
      <c r="D32" s="18"/>
      <c r="E32" s="18"/>
      <c r="F32" s="18"/>
      <c r="G32" s="18"/>
      <c r="H32" s="40"/>
      <c r="I32" s="40"/>
      <c r="J32" s="5"/>
      <c r="K32" s="6"/>
      <c r="L32" s="6"/>
      <c r="M32" s="6"/>
      <c r="N32" s="6"/>
      <c r="O32" s="6"/>
      <c r="P32" s="6"/>
      <c r="Q32" s="6"/>
      <c r="R32" s="6"/>
      <c r="S32" s="7"/>
      <c r="T32" s="31"/>
      <c r="U32" s="27"/>
    </row>
    <row r="33" spans="1:21" ht="20.25" customHeight="1" hidden="1" thickBot="1">
      <c r="A33" s="22" t="s">
        <v>37</v>
      </c>
      <c r="B33" s="19"/>
      <c r="C33" s="19"/>
      <c r="D33" s="19"/>
      <c r="E33" s="19"/>
      <c r="F33" s="19"/>
      <c r="G33" s="19"/>
      <c r="H33" s="33"/>
      <c r="I33" s="33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33"/>
      <c r="U33" s="28"/>
    </row>
    <row r="34" spans="1:21" ht="18" customHeight="1" hidden="1" thickBot="1">
      <c r="A34" s="22" t="s">
        <v>38</v>
      </c>
      <c r="B34" s="19"/>
      <c r="C34" s="19"/>
      <c r="D34" s="19"/>
      <c r="E34" s="19"/>
      <c r="F34" s="19"/>
      <c r="G34" s="19"/>
      <c r="H34" s="33"/>
      <c r="I34" s="33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33"/>
      <c r="U34" s="28"/>
    </row>
    <row r="35" spans="2:21" ht="11.25" customHeight="1">
      <c r="B35" t="s">
        <v>51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9"/>
    </row>
    <row r="36" ht="15.75" customHeight="1"/>
    <row r="37" ht="22.5" customHeight="1"/>
    <row r="38" ht="17.25" customHeight="1"/>
    <row r="39" ht="12" customHeight="1"/>
    <row r="44" ht="12.75" customHeight="1"/>
    <row r="45" ht="12.75" customHeight="1"/>
  </sheetData>
  <sheetProtection/>
  <mergeCells count="5">
    <mergeCell ref="B4:U4"/>
    <mergeCell ref="B5:U5"/>
    <mergeCell ref="B3:U3"/>
    <mergeCell ref="B1:J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2021-02-05T07:09:57Z</cp:lastPrinted>
  <dcterms:created xsi:type="dcterms:W3CDTF">2011-06-16T11:06:26Z</dcterms:created>
  <dcterms:modified xsi:type="dcterms:W3CDTF">2021-03-01T11:31:11Z</dcterms:modified>
  <cp:category/>
  <cp:version/>
  <cp:contentType/>
  <cp:contentStatus/>
</cp:coreProperties>
</file>