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<sst xmlns="http://schemas.openxmlformats.org/spreadsheetml/2006/main" count="76" uniqueCount="75">
  <si>
    <t>СПРАВКА</t>
  </si>
  <si>
    <t xml:space="preserve">Начислено  </t>
  </si>
  <si>
    <t>Расходы</t>
  </si>
  <si>
    <t>Услуги РИРЦ</t>
  </si>
  <si>
    <t>Наименование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</si>
  <si>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</si>
  <si>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</si>
  <si>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</si>
  <si>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</si>
  <si>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</si>
  <si>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</si>
  <si>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</si>
  <si>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</si>
  <si>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</si>
  <si>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</si>
  <si>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</si>
  <si>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</si>
  <si>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</si>
  <si>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</si>
  <si>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</si>
  <si>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</si>
  <si>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</si>
  <si>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</si>
  <si>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</si>
  <si>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</si>
  <si>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</si>
  <si>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</si>
  <si>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</si>
  <si>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</si>
  <si>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</si>
  <si>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</si>
  <si>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</si>
  <si>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</si>
  <si>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</si>
  <si>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</si>
  <si>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</si>
  <si>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</si>
  <si>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</si>
  <si>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</si>
  <si>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</si>
  <si>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10</t>
  </si>
  <si>
    <t>Финансовый результат по дому с начала года</t>
  </si>
  <si>
    <t>Результат за месяц</t>
  </si>
  <si>
    <t>Благоустройство территории</t>
  </si>
  <si>
    <t>4.12</t>
  </si>
  <si>
    <t>Исполнитель /Викторова Л.С./</t>
  </si>
  <si>
    <t xml:space="preserve">Материалы </t>
  </si>
  <si>
    <t>4.13</t>
  </si>
  <si>
    <t>рентабельность 5%</t>
  </si>
  <si>
    <t>Итого  за 2015 г</t>
  </si>
  <si>
    <t>по жилому дому г. Унеча ул. Кирова д.2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</si>
  <si>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</si>
  <si>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</si>
  <si>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</si>
  <si>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 xml:space="preserve">Исполнитель вед.экономист Викторова Л.С. </t>
  </si>
  <si>
    <t>5011,34</t>
  </si>
  <si>
    <t>Итого  за 2016 г</t>
  </si>
  <si>
    <t>6987,05</t>
  </si>
  <si>
    <t>Итого  за 2017 г</t>
  </si>
  <si>
    <t>Начислено СОИД</t>
  </si>
  <si>
    <t>4.3</t>
  </si>
  <si>
    <t>Электроэнергия СОИД</t>
  </si>
  <si>
    <t>Холодная вода СОИД</t>
  </si>
  <si>
    <t>Канализация СОИД</t>
  </si>
  <si>
    <t>Транспортные(ГСМ,зап.части,амортизация,страхование )</t>
  </si>
  <si>
    <t>7330,6</t>
  </si>
  <si>
    <t>Итого  за 2018 г</t>
  </si>
  <si>
    <t>Проверка вент.каналов</t>
  </si>
  <si>
    <t>7328,36</t>
  </si>
  <si>
    <t>Итого  за 2019 г</t>
  </si>
  <si>
    <t>Дом по ул.Кирова  д 2 вступил в ООО "Наш дом" с мая 2015 года        тариф 11,5 руб с января 2019 года тариф 10,7 руб.</t>
  </si>
  <si>
    <t>68,35</t>
  </si>
  <si>
    <t>Итого  за 2020 г</t>
  </si>
  <si>
    <t>Всего за 2015-2020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</si>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</sst>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88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0" xfId="0" applyFont="1" applyFill="1" applyBorder="1" applyAlignment="1">
      <alignment/>
    </xf>
    <xf numFmtId="0" fontId="20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wrapText="1"/>
    </xf>
    <xf numFmtId="49" fontId="21" fillId="0" borderId="15" xfId="0" applyNumberFormat="1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2" borderId="18" xfId="0" applyFont="1" applyFill="1" applyBorder="1" applyAlignment="1">
      <alignment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21" fillId="0" borderId="22" xfId="0" applyFont="1" applyBorder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5" fillId="0" borderId="14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2" borderId="14" xfId="0" applyFill="1" applyBorder="1" applyAlignment="1">
      <alignment/>
    </xf>
    <xf numFmtId="0" fontId="19" fillId="0" borderId="22" xfId="0" applyFont="1" applyBorder="1" applyAlignment="1">
      <alignment horizontal="center" vertical="center" wrapText="1"/>
    </xf>
    <xf numFmtId="0" fontId="21" fillId="0" borderId="25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0" fillId="2" borderId="28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1" fillId="0" borderId="24" xfId="0" applyFont="1" applyBorder="1" applyAlignment="1">
      <alignment wrapText="1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0" fillId="2" borderId="29" xfId="0" applyFont="1" applyFill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19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22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5" fillId="0" borderId="22" xfId="0" applyNumberFormat="1" applyFont="1" applyBorder="1" applyAlignment="1">
      <alignment/>
    </xf>
    <xf numFmtId="0" fontId="21" fillId="2" borderId="13" xfId="0" applyFont="1" applyFill="1" applyBorder="1" applyAlignment="1">
      <alignment wrapText="1"/>
    </xf>
    <xf numFmtId="0" fontId="21" fillId="0" borderId="20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49" fontId="21" fillId="0" borderId="25" xfId="0" applyNumberFormat="1" applyFont="1" applyBorder="1" applyAlignment="1">
      <alignment horizontal="right" wrapText="1"/>
    </xf>
    <xf numFmtId="0" fontId="26" fillId="0" borderId="25" xfId="0" applyFont="1" applyBorder="1" applyAlignment="1">
      <alignment wrapText="1"/>
    </xf>
    <xf numFmtId="49" fontId="22" fillId="0" borderId="20" xfId="0" applyNumberFormat="1" applyFont="1" applyBorder="1" applyAlignment="1">
      <alignment horizontal="center"/>
    </xf>
    <xf numFmtId="0" fontId="19" fillId="0" borderId="14" xfId="0" applyFont="1" applyBorder="1" applyAlignment="1">
      <alignment wrapText="1"/>
    </xf>
    <xf numFmtId="0" fontId="27" fillId="0" borderId="22" xfId="0" applyFont="1" applyBorder="1" applyAlignment="1">
      <alignment/>
    </xf>
    <xf numFmtId="49" fontId="27" fillId="0" borderId="22" xfId="0" applyNumberFormat="1" applyFont="1" applyBorder="1" applyAlignment="1">
      <alignment horizontal="right"/>
    </xf>
    <xf numFmtId="0" fontId="27" fillId="0" borderId="33" xfId="0" applyFont="1" applyBorder="1" applyAlignment="1">
      <alignment/>
    </xf>
    <xf numFmtId="0" fontId="28" fillId="0" borderId="19" xfId="0" applyFont="1" applyBorder="1" applyAlignment="1">
      <alignment/>
    </xf>
    <xf numFmtId="0" fontId="22" fillId="0" borderId="0" xfId="0" applyFont="1" applyAlignment="1">
      <alignment/>
    </xf>
    <xf numFmtId="2" fontId="27" fillId="0" borderId="22" xfId="0" applyNumberFormat="1" applyFont="1" applyBorder="1" applyAlignment="1">
      <alignment/>
    </xf>
    <xf numFmtId="0" fontId="28" fillId="0" borderId="27" xfId="0" applyFont="1" applyBorder="1" applyAlignment="1">
      <alignment/>
    </xf>
    <xf numFmtId="0" fontId="21" fillId="0" borderId="16" xfId="0" applyFont="1" applyBorder="1" applyAlignment="1">
      <alignment/>
    </xf>
    <xf numFmtId="2" fontId="21" fillId="0" borderId="28" xfId="0" applyNumberFormat="1" applyFont="1" applyBorder="1" applyAlignment="1">
      <alignment/>
    </xf>
    <xf numFmtId="49" fontId="27" fillId="0" borderId="22" xfId="0" applyNumberFormat="1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38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21" fillId="0" borderId="28" xfId="0" applyFont="1" applyBorder="1" applyAlignment="1">
      <alignment wrapText="1"/>
    </xf>
    <xf numFmtId="2" fontId="21" fillId="0" borderId="18" xfId="0" applyNumberFormat="1" applyFont="1" applyBorder="1" applyAlignment="1">
      <alignment/>
    </xf>
    <xf numFmtId="49" fontId="22" fillId="0" borderId="22" xfId="0" applyNumberFormat="1" applyFont="1" applyBorder="1" applyAlignment="1">
      <alignment horizontal="center"/>
    </xf>
    <xf numFmtId="0" fontId="27" fillId="0" borderId="14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2" fontId="27" fillId="0" borderId="33" xfId="0" applyNumberFormat="1" applyFont="1" applyBorder="1" applyAlignment="1">
      <alignment/>
    </xf>
    <xf numFmtId="2" fontId="27" fillId="0" borderId="39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4">
      <selection activeCell="N19" sqref="N19"/>
    </sheetView>
  </sheetViews>
  <sheetFormatPr defaultColWidth="9.00390625" defaultRowHeight="12.75"/>
  <cols>
    <col min="1" max="1" width="4.00390625" style="12" customWidth="1"/>
    <col min="2" max="2" width="23.00390625" style="0" customWidth="1"/>
    <col min="3" max="3" width="10.375" style="0" hidden="1" customWidth="1"/>
    <col min="4" max="4" width="9.125" style="0" hidden="1" customWidth="1"/>
    <col min="5" max="5" width="9.75390625" style="0" hidden="1" customWidth="1"/>
    <col min="6" max="7" width="9.00390625" style="0" hidden="1" customWidth="1"/>
    <col min="8" max="8" width="8.875" style="0" customWidth="1"/>
    <col min="9" max="9" width="9.125" style="0" customWidth="1"/>
    <col min="10" max="10" width="8.625" style="0" customWidth="1"/>
    <col min="11" max="12" width="8.00390625" style="0" customWidth="1"/>
    <col min="13" max="13" width="8.625" style="0" customWidth="1"/>
    <col min="14" max="14" width="8.875" style="0" customWidth="1"/>
    <col min="15" max="15" width="8.375" style="0" customWidth="1"/>
    <col min="16" max="16" width="7.875" style="0" customWidth="1"/>
    <col min="17" max="17" width="8.625" style="0" customWidth="1"/>
    <col min="18" max="18" width="7.875" style="0" customWidth="1"/>
    <col min="19" max="19" width="8.625" style="0" customWidth="1"/>
    <col min="20" max="20" width="8.75390625" style="0" customWidth="1"/>
    <col min="21" max="21" width="9.00390625" style="0" hidden="1" customWidth="1"/>
  </cols>
  <sheetData>
    <row r="1" spans="2:26" ht="12.75" customHeight="1">
      <c r="B1" s="77" t="s">
        <v>5</v>
      </c>
      <c r="C1" s="77"/>
      <c r="D1" s="77"/>
      <c r="E1" s="77"/>
      <c r="F1" s="77"/>
      <c r="G1" s="77"/>
      <c r="H1" s="77"/>
      <c r="I1" s="77"/>
      <c r="J1" s="77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 customHeight="1"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  <c r="S2" s="78"/>
      <c r="T2" s="78"/>
      <c r="U2" s="4"/>
      <c r="V2" s="4"/>
      <c r="W2" s="4"/>
      <c r="X2" s="4"/>
      <c r="Y2" s="4"/>
      <c r="Z2" s="4"/>
    </row>
    <row r="3" spans="2:26" ht="12.75" customHeight="1">
      <c r="B3" s="76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3"/>
      <c r="W3" s="3"/>
      <c r="X3" s="3"/>
      <c r="Y3" s="3"/>
      <c r="Z3" s="3"/>
    </row>
    <row r="4" spans="2:26" ht="22.5" customHeight="1">
      <c r="B4" s="75" t="s">
        <v>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2"/>
      <c r="W4" s="2"/>
      <c r="X4" s="2"/>
      <c r="Y4" s="2"/>
      <c r="Z4" s="2"/>
    </row>
    <row r="5" spans="2:26" ht="15.75" customHeight="1" thickBot="1">
      <c r="B5" s="75" t="s">
        <v>50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2"/>
      <c r="W5" s="2"/>
      <c r="X5" s="2"/>
      <c r="Y5" s="2"/>
      <c r="Z5" s="2"/>
    </row>
    <row r="6" spans="2:26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  <c r="Y6" s="2"/>
      <c r="Z6" s="2"/>
    </row>
    <row r="7" spans="1:26" ht="36" customHeight="1" thickBot="1">
      <c r="A7" s="19" t="s">
        <v>23</v>
      </c>
      <c r="B7" s="13" t="s">
        <v>4</v>
      </c>
      <c r="C7" s="29" t="s">
        <v>49</v>
      </c>
      <c r="D7" s="29" t="s">
        <v>56</v>
      </c>
      <c r="E7" s="29" t="s">
        <v>58</v>
      </c>
      <c r="F7" s="29" t="s">
        <v>66</v>
      </c>
      <c r="G7" s="29" t="s">
        <v>69</v>
      </c>
      <c r="H7" s="46" t="s">
        <v>8</v>
      </c>
      <c r="I7" s="29" t="s">
        <v>9</v>
      </c>
      <c r="J7" s="46" t="s">
        <v>10</v>
      </c>
      <c r="K7" s="29" t="s">
        <v>11</v>
      </c>
      <c r="L7" s="46" t="s">
        <v>12</v>
      </c>
      <c r="M7" s="29" t="s">
        <v>13</v>
      </c>
      <c r="N7" s="46" t="s">
        <v>14</v>
      </c>
      <c r="O7" s="29" t="s">
        <v>15</v>
      </c>
      <c r="P7" s="46" t="s">
        <v>16</v>
      </c>
      <c r="Q7" s="29" t="s">
        <v>17</v>
      </c>
      <c r="R7" s="46" t="s">
        <v>19</v>
      </c>
      <c r="S7" s="29" t="s">
        <v>18</v>
      </c>
      <c r="T7" s="29" t="s">
        <v>72</v>
      </c>
      <c r="U7" s="23" t="s">
        <v>73</v>
      </c>
      <c r="V7" s="1"/>
      <c r="W7" s="1"/>
      <c r="X7" s="1"/>
      <c r="Y7" s="1"/>
      <c r="Z7" s="1"/>
    </row>
    <row r="8" spans="1:21" ht="13.5" thickBot="1">
      <c r="A8" s="20" t="s">
        <v>24</v>
      </c>
      <c r="B8" s="14" t="s">
        <v>1</v>
      </c>
      <c r="C8" s="58">
        <v>33460.4</v>
      </c>
      <c r="D8" s="58">
        <v>50190.6</v>
      </c>
      <c r="E8" s="58">
        <v>50190.6</v>
      </c>
      <c r="F8" s="58">
        <v>50196.35</v>
      </c>
      <c r="G8" s="58">
        <v>46711.92</v>
      </c>
      <c r="H8" s="47">
        <v>3892.66</v>
      </c>
      <c r="I8" s="37">
        <v>3892.66</v>
      </c>
      <c r="J8" s="37">
        <v>3892.66</v>
      </c>
      <c r="K8" s="37">
        <v>3892.66</v>
      </c>
      <c r="L8" s="37">
        <v>3892.66</v>
      </c>
      <c r="M8" s="37">
        <v>3892.66</v>
      </c>
      <c r="N8" s="73">
        <v>3892.66</v>
      </c>
      <c r="O8" s="37">
        <v>3892.66</v>
      </c>
      <c r="P8" s="47">
        <v>3892.66</v>
      </c>
      <c r="Q8" s="37">
        <v>3892.66</v>
      </c>
      <c r="R8" s="37">
        <v>3892.66</v>
      </c>
      <c r="S8" s="37">
        <v>4038.18</v>
      </c>
      <c r="T8" s="30">
        <f>SUM(H8:S8)</f>
        <v>46857.44000000001</v>
      </c>
      <c r="U8" s="35">
        <f>SUM(C8:S8)</f>
        <v>277607.30999999994</v>
      </c>
    </row>
    <row r="9" spans="1:21" ht="13.5" thickBot="1">
      <c r="A9" s="20"/>
      <c r="B9" s="14" t="s">
        <v>59</v>
      </c>
      <c r="C9" s="60"/>
      <c r="D9" s="60">
        <v>0</v>
      </c>
      <c r="E9" s="60">
        <v>4447.77</v>
      </c>
      <c r="F9" s="60">
        <v>3109.69</v>
      </c>
      <c r="G9" s="60">
        <v>468.96</v>
      </c>
      <c r="H9" s="43">
        <f aca="true" t="shared" si="0" ref="H9:M9">20.47+19.8</f>
        <v>40.269999999999996</v>
      </c>
      <c r="I9" s="40">
        <f t="shared" si="0"/>
        <v>40.269999999999996</v>
      </c>
      <c r="J9" s="40">
        <f t="shared" si="0"/>
        <v>40.269999999999996</v>
      </c>
      <c r="K9" s="40">
        <f t="shared" si="0"/>
        <v>40.269999999999996</v>
      </c>
      <c r="L9" s="40">
        <f t="shared" si="0"/>
        <v>40.269999999999996</v>
      </c>
      <c r="M9" s="40">
        <f t="shared" si="0"/>
        <v>40.269999999999996</v>
      </c>
      <c r="N9" s="43">
        <f aca="true" t="shared" si="1" ref="N9:S9">21.3+19.86</f>
        <v>41.16</v>
      </c>
      <c r="O9" s="40">
        <f t="shared" si="1"/>
        <v>41.16</v>
      </c>
      <c r="P9" s="43">
        <f t="shared" si="1"/>
        <v>41.16</v>
      </c>
      <c r="Q9" s="40">
        <f t="shared" si="1"/>
        <v>41.16</v>
      </c>
      <c r="R9" s="40">
        <f t="shared" si="1"/>
        <v>41.16</v>
      </c>
      <c r="S9" s="40">
        <f t="shared" si="1"/>
        <v>41.16</v>
      </c>
      <c r="T9" s="30">
        <f>SUM(H9:S9)</f>
        <v>488.5799999999998</v>
      </c>
      <c r="U9" s="35">
        <f>SUM(C9:S9)</f>
        <v>8515.000000000002</v>
      </c>
    </row>
    <row r="10" spans="1:21" s="67" customFormat="1" ht="13.5" customHeight="1" thickBot="1">
      <c r="A10" s="61" t="s">
        <v>25</v>
      </c>
      <c r="B10" s="62" t="s">
        <v>2</v>
      </c>
      <c r="C10" s="63">
        <v>23489.56</v>
      </c>
      <c r="D10" s="64">
        <f>SUM(D11:D23)+6987.05</f>
        <v>44237.29</v>
      </c>
      <c r="E10" s="63">
        <v>51261.27</v>
      </c>
      <c r="F10" s="63">
        <v>43431.53</v>
      </c>
      <c r="G10" s="72">
        <f>SUM(G11:G23)+68.35</f>
        <v>35511</v>
      </c>
      <c r="H10" s="65">
        <f aca="true" t="shared" si="2" ref="H10:N10">SUM(H11:H23)</f>
        <v>2905.45</v>
      </c>
      <c r="I10" s="63">
        <f t="shared" si="2"/>
        <v>2704.46</v>
      </c>
      <c r="J10" s="65">
        <f t="shared" si="2"/>
        <v>2769.7300000000005</v>
      </c>
      <c r="K10" s="63">
        <f t="shared" si="2"/>
        <v>2690.29</v>
      </c>
      <c r="L10" s="65">
        <f t="shared" si="2"/>
        <v>2758.5</v>
      </c>
      <c r="M10" s="63">
        <f t="shared" si="2"/>
        <v>5773.15</v>
      </c>
      <c r="N10" s="65">
        <f t="shared" si="2"/>
        <v>3046.18</v>
      </c>
      <c r="O10" s="63">
        <f>SUM(O11:O23)</f>
        <v>3049.77</v>
      </c>
      <c r="P10" s="65">
        <f>SUM(P11:P23)</f>
        <v>3181.44</v>
      </c>
      <c r="Q10" s="63">
        <f>SUM(Q11:Q23)</f>
        <v>3312.77</v>
      </c>
      <c r="R10" s="65">
        <f>SUM(R11:R23)</f>
        <v>3446.2000000000003</v>
      </c>
      <c r="S10" s="63">
        <f>SUM(S11:S23)</f>
        <v>3563.13</v>
      </c>
      <c r="T10" s="63">
        <f>SUM(H10:S10)</f>
        <v>39201.07</v>
      </c>
      <c r="U10" s="66">
        <f>SUM(H10:S10)+8297.82</f>
        <v>47498.89</v>
      </c>
    </row>
    <row r="11" spans="1:21" ht="13.5" customHeight="1" thickBot="1">
      <c r="A11" s="20" t="s">
        <v>26</v>
      </c>
      <c r="B11" s="15" t="s">
        <v>74</v>
      </c>
      <c r="C11" s="59" t="s">
        <v>55</v>
      </c>
      <c r="D11" s="59" t="s">
        <v>57</v>
      </c>
      <c r="E11" s="59" t="s">
        <v>65</v>
      </c>
      <c r="F11" s="59" t="s">
        <v>68</v>
      </c>
      <c r="G11" s="59" t="s">
        <v>71</v>
      </c>
      <c r="H11" s="43"/>
      <c r="I11" s="37">
        <v>4.46</v>
      </c>
      <c r="J11" s="43">
        <v>5.18</v>
      </c>
      <c r="K11" s="30">
        <v>5.81</v>
      </c>
      <c r="L11" s="43">
        <v>9.31</v>
      </c>
      <c r="M11" s="30">
        <v>6.85</v>
      </c>
      <c r="N11" s="43">
        <v>10.86</v>
      </c>
      <c r="O11" s="30">
        <v>11.24</v>
      </c>
      <c r="P11" s="43">
        <v>26.69</v>
      </c>
      <c r="Q11" s="37">
        <v>11.44</v>
      </c>
      <c r="R11" s="43">
        <v>0.85</v>
      </c>
      <c r="S11" s="30">
        <v>1.13</v>
      </c>
      <c r="T11" s="31">
        <f aca="true" t="shared" si="3" ref="T11:T25">SUM(H11:S11)</f>
        <v>93.82</v>
      </c>
      <c r="U11" s="35">
        <f aca="true" t="shared" si="4" ref="U11:U24">SUM(C11:S11)</f>
        <v>93.82</v>
      </c>
    </row>
    <row r="12" spans="1:21" ht="15" customHeight="1" thickBot="1">
      <c r="A12" s="20" t="s">
        <v>27</v>
      </c>
      <c r="B12" s="16" t="s">
        <v>51</v>
      </c>
      <c r="C12" s="55">
        <v>0</v>
      </c>
      <c r="D12" s="55">
        <v>3794.49</v>
      </c>
      <c r="E12" s="55">
        <v>0</v>
      </c>
      <c r="F12" s="55">
        <v>0</v>
      </c>
      <c r="G12" s="55">
        <v>0</v>
      </c>
      <c r="H12" s="44"/>
      <c r="I12" s="38"/>
      <c r="J12" s="44"/>
      <c r="K12" s="38"/>
      <c r="L12" s="44"/>
      <c r="M12" s="38"/>
      <c r="N12" s="44"/>
      <c r="O12" s="38"/>
      <c r="P12" s="44"/>
      <c r="Q12" s="38"/>
      <c r="R12" s="44"/>
      <c r="S12" s="38"/>
      <c r="T12" s="31">
        <f t="shared" si="3"/>
        <v>0</v>
      </c>
      <c r="U12" s="35">
        <f t="shared" si="4"/>
        <v>3794.49</v>
      </c>
    </row>
    <row r="13" spans="1:21" ht="15" customHeight="1" thickBot="1">
      <c r="A13" s="20"/>
      <c r="B13" s="16" t="s">
        <v>67</v>
      </c>
      <c r="C13" s="55"/>
      <c r="D13" s="55"/>
      <c r="E13" s="55"/>
      <c r="F13" s="55">
        <v>200</v>
      </c>
      <c r="G13" s="55">
        <v>0</v>
      </c>
      <c r="H13" s="44"/>
      <c r="I13" s="38"/>
      <c r="J13" s="44"/>
      <c r="K13" s="38"/>
      <c r="L13" s="44"/>
      <c r="M13" s="38"/>
      <c r="N13" s="44"/>
      <c r="O13" s="38"/>
      <c r="P13" s="44"/>
      <c r="Q13" s="38"/>
      <c r="R13" s="44"/>
      <c r="S13" s="38"/>
      <c r="T13" s="31">
        <f>SUM(H13:S13)</f>
        <v>0</v>
      </c>
      <c r="U13" s="35">
        <f>SUM(C13:S13)</f>
        <v>200</v>
      </c>
    </row>
    <row r="14" spans="1:21" ht="15.75" customHeight="1" thickBot="1">
      <c r="A14" s="20" t="s">
        <v>60</v>
      </c>
      <c r="B14" s="16" t="s">
        <v>61</v>
      </c>
      <c r="C14" s="55"/>
      <c r="D14" s="55">
        <v>0</v>
      </c>
      <c r="E14" s="55">
        <v>4133.92</v>
      </c>
      <c r="F14" s="55">
        <v>2656.56</v>
      </c>
      <c r="G14" s="55">
        <v>0</v>
      </c>
      <c r="H14" s="44"/>
      <c r="I14" s="38"/>
      <c r="J14" s="70"/>
      <c r="K14" s="38"/>
      <c r="L14" s="38"/>
      <c r="M14" s="38"/>
      <c r="N14" s="44"/>
      <c r="O14" s="38"/>
      <c r="P14" s="44"/>
      <c r="Q14" s="38"/>
      <c r="R14" s="44"/>
      <c r="S14" s="38"/>
      <c r="T14" s="31">
        <f>SUM(H14:S14)</f>
        <v>0</v>
      </c>
      <c r="U14" s="35">
        <f>SUM(C14:S14)</f>
        <v>6790.48</v>
      </c>
    </row>
    <row r="15" spans="1:21" ht="15" customHeight="1" thickBot="1">
      <c r="A15" s="20"/>
      <c r="B15" s="16" t="s">
        <v>62</v>
      </c>
      <c r="C15" s="55"/>
      <c r="D15" s="55"/>
      <c r="E15" s="55">
        <v>190.65</v>
      </c>
      <c r="F15" s="55">
        <v>240.36</v>
      </c>
      <c r="G15" s="55">
        <v>243.36</v>
      </c>
      <c r="H15" s="44">
        <v>20.47</v>
      </c>
      <c r="I15" s="38">
        <v>20.47</v>
      </c>
      <c r="J15" s="38">
        <v>20.47</v>
      </c>
      <c r="K15" s="38">
        <v>20.47</v>
      </c>
      <c r="L15" s="38">
        <v>20.47</v>
      </c>
      <c r="M15" s="38">
        <v>20.47</v>
      </c>
      <c r="N15" s="38">
        <v>21.3</v>
      </c>
      <c r="O15" s="38">
        <v>21.3</v>
      </c>
      <c r="P15" s="74">
        <v>21.3</v>
      </c>
      <c r="Q15" s="38">
        <v>21.3</v>
      </c>
      <c r="R15" s="38">
        <v>21.3</v>
      </c>
      <c r="S15" s="38">
        <v>21.3</v>
      </c>
      <c r="T15" s="31">
        <f>SUM(H15:S15)</f>
        <v>250.62000000000006</v>
      </c>
      <c r="U15" s="35">
        <f>SUM(C15:S15)</f>
        <v>924.9899999999999</v>
      </c>
    </row>
    <row r="16" spans="1:21" ht="14.25" customHeight="1" thickBot="1">
      <c r="A16" s="20"/>
      <c r="B16" s="16" t="s">
        <v>63</v>
      </c>
      <c r="C16" s="55"/>
      <c r="D16" s="55"/>
      <c r="E16" s="55">
        <v>123.07</v>
      </c>
      <c r="F16" s="55">
        <v>212.58</v>
      </c>
      <c r="G16" s="55">
        <v>223.53</v>
      </c>
      <c r="H16" s="44">
        <v>19.8</v>
      </c>
      <c r="I16" s="38">
        <v>19.8</v>
      </c>
      <c r="J16" s="38">
        <v>19.8</v>
      </c>
      <c r="K16" s="38">
        <v>19.8</v>
      </c>
      <c r="L16" s="38">
        <v>19.8</v>
      </c>
      <c r="M16" s="38">
        <v>19.8</v>
      </c>
      <c r="N16" s="38">
        <v>19.86</v>
      </c>
      <c r="O16" s="38">
        <v>19.86</v>
      </c>
      <c r="P16" s="74">
        <v>19.86</v>
      </c>
      <c r="Q16" s="38">
        <v>19.86</v>
      </c>
      <c r="R16" s="38">
        <v>19.86</v>
      </c>
      <c r="S16" s="38">
        <v>19.86</v>
      </c>
      <c r="T16" s="31">
        <f>SUM(H16:S16)</f>
        <v>237.96000000000004</v>
      </c>
      <c r="U16" s="35">
        <f>SUM(C16:S16)</f>
        <v>797.1399999999998</v>
      </c>
    </row>
    <row r="17" spans="1:21" ht="16.5" customHeight="1" thickBot="1">
      <c r="A17" s="20" t="s">
        <v>28</v>
      </c>
      <c r="B17" s="16" t="s">
        <v>46</v>
      </c>
      <c r="C17" s="55">
        <v>0</v>
      </c>
      <c r="D17" s="55">
        <v>5901.11</v>
      </c>
      <c r="E17" s="55">
        <v>10472.25</v>
      </c>
      <c r="F17" s="55">
        <v>3244.3</v>
      </c>
      <c r="G17" s="55">
        <v>3259.65</v>
      </c>
      <c r="H17" s="44"/>
      <c r="I17" s="38"/>
      <c r="J17" s="44"/>
      <c r="K17" s="38"/>
      <c r="L17" s="44"/>
      <c r="M17" s="38">
        <v>2425</v>
      </c>
      <c r="N17" s="44"/>
      <c r="O17" s="38"/>
      <c r="P17" s="44"/>
      <c r="Q17" s="38"/>
      <c r="R17" s="44"/>
      <c r="S17" s="38"/>
      <c r="T17" s="31">
        <f t="shared" si="3"/>
        <v>2425</v>
      </c>
      <c r="U17" s="35">
        <f t="shared" si="4"/>
        <v>25302.31</v>
      </c>
    </row>
    <row r="18" spans="1:21" ht="16.5" customHeight="1" thickBot="1">
      <c r="A18" s="20" t="s">
        <v>29</v>
      </c>
      <c r="B18" s="16" t="s">
        <v>43</v>
      </c>
      <c r="C18" s="55">
        <v>0</v>
      </c>
      <c r="D18" s="55">
        <v>51</v>
      </c>
      <c r="E18" s="55">
        <v>0</v>
      </c>
      <c r="F18" s="55">
        <v>0</v>
      </c>
      <c r="G18" s="55">
        <v>38.43</v>
      </c>
      <c r="H18" s="44"/>
      <c r="I18" s="38"/>
      <c r="J18" s="44"/>
      <c r="K18" s="38"/>
      <c r="L18" s="44"/>
      <c r="M18" s="38"/>
      <c r="N18" s="44"/>
      <c r="O18" s="38"/>
      <c r="P18" s="44"/>
      <c r="Q18" s="38"/>
      <c r="R18" s="44"/>
      <c r="S18" s="38"/>
      <c r="T18" s="31">
        <f>SUM(H18:S18)</f>
        <v>0</v>
      </c>
      <c r="U18" s="35">
        <f t="shared" si="4"/>
        <v>89.43</v>
      </c>
    </row>
    <row r="19" spans="1:21" ht="27.75" customHeight="1" thickBot="1">
      <c r="A19" s="20" t="s">
        <v>30</v>
      </c>
      <c r="B19" s="16" t="s">
        <v>64</v>
      </c>
      <c r="C19" s="55">
        <v>882.63</v>
      </c>
      <c r="D19" s="55">
        <v>1848.39</v>
      </c>
      <c r="E19" s="55">
        <v>1877.91</v>
      </c>
      <c r="F19" s="55">
        <v>1973.63</v>
      </c>
      <c r="G19" s="55">
        <v>1617.94</v>
      </c>
      <c r="H19" s="44">
        <v>117.35</v>
      </c>
      <c r="I19" s="38">
        <v>105.2</v>
      </c>
      <c r="J19" s="44">
        <v>130.79</v>
      </c>
      <c r="K19" s="38">
        <v>102.25</v>
      </c>
      <c r="L19" s="44">
        <v>105.79</v>
      </c>
      <c r="M19" s="38">
        <v>106.78</v>
      </c>
      <c r="N19" s="44">
        <v>123.5</v>
      </c>
      <c r="O19" s="38">
        <v>153.91</v>
      </c>
      <c r="P19" s="44">
        <v>147.69</v>
      </c>
      <c r="Q19" s="38">
        <v>171.66</v>
      </c>
      <c r="R19" s="44">
        <v>159.65</v>
      </c>
      <c r="S19" s="38">
        <v>145.74</v>
      </c>
      <c r="T19" s="31">
        <f>SUM(H19:S19)</f>
        <v>1570.3100000000002</v>
      </c>
      <c r="U19" s="35">
        <f t="shared" si="4"/>
        <v>9770.810000000003</v>
      </c>
    </row>
    <row r="20" spans="1:21" ht="26.25" customHeight="1" thickBot="1">
      <c r="A20" s="20" t="s">
        <v>31</v>
      </c>
      <c r="B20" s="16" t="s">
        <v>52</v>
      </c>
      <c r="C20" s="55">
        <v>153.83</v>
      </c>
      <c r="D20" s="55">
        <v>262.97</v>
      </c>
      <c r="E20" s="55">
        <v>205.4</v>
      </c>
      <c r="F20" s="55">
        <v>199.09</v>
      </c>
      <c r="G20" s="55">
        <v>180.94</v>
      </c>
      <c r="H20" s="44">
        <v>6.74</v>
      </c>
      <c r="I20" s="38">
        <v>9.55</v>
      </c>
      <c r="J20" s="44">
        <v>9.15</v>
      </c>
      <c r="K20" s="38">
        <v>9.14</v>
      </c>
      <c r="L20" s="44">
        <v>8.91</v>
      </c>
      <c r="M20" s="38">
        <v>7.79</v>
      </c>
      <c r="N20" s="44">
        <v>17.56</v>
      </c>
      <c r="O20" s="38">
        <v>9.11</v>
      </c>
      <c r="P20" s="44">
        <v>5.57</v>
      </c>
      <c r="Q20" s="38">
        <v>16.81</v>
      </c>
      <c r="R20" s="44">
        <v>7.23</v>
      </c>
      <c r="S20" s="38">
        <v>19.69</v>
      </c>
      <c r="T20" s="31">
        <f>SUM(H20:S20)</f>
        <v>127.24999999999999</v>
      </c>
      <c r="U20" s="35">
        <f t="shared" si="4"/>
        <v>1129.48</v>
      </c>
    </row>
    <row r="21" spans="1:21" ht="36" customHeight="1" thickBot="1">
      <c r="A21" s="20" t="s">
        <v>32</v>
      </c>
      <c r="B21" s="16" t="s">
        <v>53</v>
      </c>
      <c r="C21" s="55">
        <v>1452.41</v>
      </c>
      <c r="D21" s="55">
        <v>1923.4</v>
      </c>
      <c r="E21" s="55">
        <v>2025.97</v>
      </c>
      <c r="F21" s="55">
        <v>2219.55</v>
      </c>
      <c r="G21" s="55">
        <v>2413.72</v>
      </c>
      <c r="H21" s="44">
        <f>4.79+63.14+102.96</f>
        <v>170.89</v>
      </c>
      <c r="I21" s="38">
        <f>4.97+74.17+110.46</f>
        <v>189.6</v>
      </c>
      <c r="J21" s="44">
        <f>4.74+66.91+113.24</f>
        <v>184.89</v>
      </c>
      <c r="K21" s="38">
        <f>5.89+78.71+105.72</f>
        <v>190.32</v>
      </c>
      <c r="L21" s="44">
        <f>4.96+98.36+104.93</f>
        <v>208.25</v>
      </c>
      <c r="M21" s="38">
        <f>4.81+83.03+98.97</f>
        <v>186.81</v>
      </c>
      <c r="N21" s="44">
        <f>5.2+67.76+100.41</f>
        <v>173.37</v>
      </c>
      <c r="O21" s="38">
        <f>97.44+4.92+68.33</f>
        <v>170.69</v>
      </c>
      <c r="P21" s="44">
        <f>88.07+150.47</f>
        <v>238.54</v>
      </c>
      <c r="Q21" s="38">
        <f>5.18+147.08+146.44</f>
        <v>298.70000000000005</v>
      </c>
      <c r="R21" s="44">
        <f>5.7+118.12+140.97</f>
        <v>264.79</v>
      </c>
      <c r="S21" s="38">
        <f>6.43+164.11+129.35</f>
        <v>299.89</v>
      </c>
      <c r="T21" s="31">
        <f t="shared" si="3"/>
        <v>2576.7400000000002</v>
      </c>
      <c r="U21" s="35">
        <f t="shared" si="4"/>
        <v>12611.790000000003</v>
      </c>
    </row>
    <row r="22" spans="1:21" ht="13.5" customHeight="1" thickBot="1">
      <c r="A22" s="20" t="s">
        <v>33</v>
      </c>
      <c r="B22" s="16" t="s">
        <v>6</v>
      </c>
      <c r="C22" s="55">
        <v>14516.44</v>
      </c>
      <c r="D22" s="55">
        <v>21573.7</v>
      </c>
      <c r="E22" s="55">
        <v>22854.03</v>
      </c>
      <c r="F22" s="55">
        <v>23123.97</v>
      </c>
      <c r="G22" s="55">
        <v>25672.62</v>
      </c>
      <c r="H22" s="44">
        <f>2905.45-483.76</f>
        <v>2421.6899999999996</v>
      </c>
      <c r="I22" s="38">
        <f>2704.46-497.59</f>
        <v>2206.87</v>
      </c>
      <c r="J22" s="44">
        <f>2769.73-518.79</f>
        <v>2250.94</v>
      </c>
      <c r="K22" s="38">
        <f>2690.29-496.3</f>
        <v>2193.99</v>
      </c>
      <c r="L22" s="44">
        <f>2758.5-521.04</f>
        <v>2237.46</v>
      </c>
      <c r="M22" s="38">
        <f>5773.15-2922.01</f>
        <v>2851.1399999999994</v>
      </c>
      <c r="N22" s="44">
        <f>3046.18-514.96</f>
        <v>2531.22</v>
      </c>
      <c r="O22" s="38">
        <f>3049.77-534.65</f>
        <v>2515.12</v>
      </c>
      <c r="P22" s="44">
        <f>3181.44-608.19</f>
        <v>2573.25</v>
      </c>
      <c r="Q22" s="38">
        <f>3312.77-688.31</f>
        <v>2624.46</v>
      </c>
      <c r="R22" s="44">
        <f>3446.2-622.21</f>
        <v>2823.99</v>
      </c>
      <c r="S22" s="38">
        <f>3563.13-656.15</f>
        <v>2906.98</v>
      </c>
      <c r="T22" s="31">
        <f t="shared" si="3"/>
        <v>30137.109999999997</v>
      </c>
      <c r="U22" s="35">
        <f t="shared" si="4"/>
        <v>137877.87</v>
      </c>
    </row>
    <row r="23" spans="1:21" ht="15" customHeight="1" thickBot="1">
      <c r="A23" s="20" t="s">
        <v>34</v>
      </c>
      <c r="B23" s="17" t="s">
        <v>3</v>
      </c>
      <c r="C23" s="56">
        <v>1105.52</v>
      </c>
      <c r="D23" s="56">
        <v>1895.18</v>
      </c>
      <c r="E23" s="56">
        <v>2047.47</v>
      </c>
      <c r="F23" s="56">
        <v>2033.13</v>
      </c>
      <c r="G23" s="56">
        <v>1792.46</v>
      </c>
      <c r="H23" s="45">
        <f aca="true" t="shared" si="5" ref="H23:M23">1.52+146.99</f>
        <v>148.51000000000002</v>
      </c>
      <c r="I23" s="39">
        <f t="shared" si="5"/>
        <v>148.51000000000002</v>
      </c>
      <c r="J23" s="45">
        <f t="shared" si="5"/>
        <v>148.51000000000002</v>
      </c>
      <c r="K23" s="39">
        <f t="shared" si="5"/>
        <v>148.51000000000002</v>
      </c>
      <c r="L23" s="45">
        <f t="shared" si="5"/>
        <v>148.51000000000002</v>
      </c>
      <c r="M23" s="39">
        <f t="shared" si="5"/>
        <v>148.51000000000002</v>
      </c>
      <c r="N23" s="45">
        <f>1.52+146.99</f>
        <v>148.51000000000002</v>
      </c>
      <c r="O23" s="39">
        <f>1.55+146.99</f>
        <v>148.54000000000002</v>
      </c>
      <c r="P23" s="45">
        <f>1.55+146.99</f>
        <v>148.54000000000002</v>
      </c>
      <c r="Q23" s="39">
        <f>1.55+146.99</f>
        <v>148.54000000000002</v>
      </c>
      <c r="R23" s="45">
        <f>1.55+146.98</f>
        <v>148.53</v>
      </c>
      <c r="S23" s="39">
        <f>1.55+146.99</f>
        <v>148.54000000000002</v>
      </c>
      <c r="T23" s="31">
        <f t="shared" si="3"/>
        <v>1782.26</v>
      </c>
      <c r="U23" s="35">
        <f t="shared" si="4"/>
        <v>10656.020000000006</v>
      </c>
    </row>
    <row r="24" spans="1:21" ht="15.75" customHeight="1" thickBot="1">
      <c r="A24" s="20" t="s">
        <v>44</v>
      </c>
      <c r="B24" s="22" t="s">
        <v>48</v>
      </c>
      <c r="C24" s="49">
        <f>C8*5%</f>
        <v>1673.0200000000002</v>
      </c>
      <c r="D24" s="52">
        <f>D8*5%</f>
        <v>2509.53</v>
      </c>
      <c r="E24" s="52">
        <f>E8*5%</f>
        <v>2509.53</v>
      </c>
      <c r="F24" s="52">
        <f>F8*5%</f>
        <v>2509.8175</v>
      </c>
      <c r="G24" s="52">
        <f>(G8+G9)*5%</f>
        <v>2359.044</v>
      </c>
      <c r="H24" s="48">
        <f>(H8+H9)*5%</f>
        <v>196.6465</v>
      </c>
      <c r="I24" s="71">
        <f aca="true" t="shared" si="6" ref="I24:S24">(I8+I9)*5%</f>
        <v>196.6465</v>
      </c>
      <c r="J24" s="48">
        <f t="shared" si="6"/>
        <v>196.6465</v>
      </c>
      <c r="K24" s="49">
        <f t="shared" si="6"/>
        <v>196.6465</v>
      </c>
      <c r="L24" s="48">
        <f t="shared" si="6"/>
        <v>196.6465</v>
      </c>
      <c r="M24" s="49">
        <f t="shared" si="6"/>
        <v>196.6465</v>
      </c>
      <c r="N24" s="48">
        <f t="shared" si="6"/>
        <v>196.691</v>
      </c>
      <c r="O24" s="49">
        <f t="shared" si="6"/>
        <v>196.691</v>
      </c>
      <c r="P24" s="48">
        <f t="shared" si="6"/>
        <v>196.691</v>
      </c>
      <c r="Q24" s="49">
        <f t="shared" si="6"/>
        <v>196.691</v>
      </c>
      <c r="R24" s="48">
        <f t="shared" si="6"/>
        <v>196.691</v>
      </c>
      <c r="S24" s="49">
        <f t="shared" si="6"/>
        <v>203.96699999999998</v>
      </c>
      <c r="T24" s="49">
        <f t="shared" si="3"/>
        <v>2367.3010000000004</v>
      </c>
      <c r="U24" s="35">
        <f t="shared" si="4"/>
        <v>13928.242500000008</v>
      </c>
    </row>
    <row r="25" spans="1:21" ht="13.5" customHeight="1" thickBot="1">
      <c r="A25" s="79" t="s">
        <v>47</v>
      </c>
      <c r="B25" s="36" t="s">
        <v>42</v>
      </c>
      <c r="C25" s="57"/>
      <c r="D25" s="51"/>
      <c r="E25" s="51">
        <f aca="true" t="shared" si="7" ref="E25:S25">SUM(E8+E9-E10)-E24</f>
        <v>867.5699999999983</v>
      </c>
      <c r="F25" s="51">
        <f>SUM(F8+F9-F10)-F24</f>
        <v>7364.692500000002</v>
      </c>
      <c r="G25" s="51">
        <f>SUM(G8+G9-G10)-G24</f>
        <v>9310.835999999998</v>
      </c>
      <c r="H25" s="50">
        <f t="shared" si="7"/>
        <v>830.8335</v>
      </c>
      <c r="I25" s="51">
        <f t="shared" si="7"/>
        <v>1031.8234999999997</v>
      </c>
      <c r="J25" s="50">
        <f t="shared" si="7"/>
        <v>966.5534999999993</v>
      </c>
      <c r="K25" s="51">
        <f t="shared" si="7"/>
        <v>1045.9934999999998</v>
      </c>
      <c r="L25" s="50">
        <f t="shared" si="7"/>
        <v>977.7834999999998</v>
      </c>
      <c r="M25" s="51">
        <f t="shared" si="7"/>
        <v>-2036.8664999999999</v>
      </c>
      <c r="N25" s="50">
        <f t="shared" si="7"/>
        <v>690.9489999999998</v>
      </c>
      <c r="O25" s="51">
        <f t="shared" si="7"/>
        <v>687.3589999999997</v>
      </c>
      <c r="P25" s="50">
        <f t="shared" si="7"/>
        <v>555.6889999999996</v>
      </c>
      <c r="Q25" s="51">
        <f t="shared" si="7"/>
        <v>424.3589999999997</v>
      </c>
      <c r="R25" s="50">
        <f t="shared" si="7"/>
        <v>290.9289999999994</v>
      </c>
      <c r="S25" s="51">
        <f t="shared" si="7"/>
        <v>312.2429999999996</v>
      </c>
      <c r="T25" s="51">
        <f t="shared" si="3"/>
        <v>5777.648999999995</v>
      </c>
      <c r="U25" s="35"/>
    </row>
    <row r="26" spans="1:21" ht="23.25" customHeight="1" thickBot="1">
      <c r="A26" s="83"/>
      <c r="B26" s="84" t="s">
        <v>20</v>
      </c>
      <c r="C26" s="85">
        <v>8297.82</v>
      </c>
      <c r="D26" s="68">
        <f>SUM(D8-D10,A26)-D24</f>
        <v>3443.7799999999975</v>
      </c>
      <c r="E26" s="68">
        <f>SUM(E8+E9-E10,A26)-E24</f>
        <v>867.5699999999983</v>
      </c>
      <c r="F26" s="68">
        <f>SUM(F8+F9-F10,A26)-F24</f>
        <v>7364.692500000002</v>
      </c>
      <c r="G26" s="68">
        <f>SUM(G8+G9-G10,A26)-G24</f>
        <v>9310.835999999998</v>
      </c>
      <c r="H26" s="86">
        <f>SUM(H8+H9-H10,B26)-H24</f>
        <v>830.8335</v>
      </c>
      <c r="I26" s="68">
        <f aca="true" t="shared" si="8" ref="I26:N26">SUM(I25+H26)</f>
        <v>1862.6569999999997</v>
      </c>
      <c r="J26" s="68">
        <f t="shared" si="8"/>
        <v>2829.2104999999992</v>
      </c>
      <c r="K26" s="68">
        <f t="shared" si="8"/>
        <v>3875.203999999999</v>
      </c>
      <c r="L26" s="68">
        <f t="shared" si="8"/>
        <v>4852.987499999998</v>
      </c>
      <c r="M26" s="68">
        <f t="shared" si="8"/>
        <v>2816.1209999999983</v>
      </c>
      <c r="N26" s="87">
        <f t="shared" si="8"/>
        <v>3507.069999999998</v>
      </c>
      <c r="O26" s="68">
        <f>SUM(O25+N26)</f>
        <v>4194.428999999997</v>
      </c>
      <c r="P26" s="86">
        <f>SUM(P25+O26)</f>
        <v>4750.117999999997</v>
      </c>
      <c r="Q26" s="68">
        <f>SUM(Q25+P26)</f>
        <v>5174.476999999996</v>
      </c>
      <c r="R26" s="86">
        <f>SUM(R25+Q26)</f>
        <v>5465.405999999995</v>
      </c>
      <c r="S26" s="68">
        <f>SUM(S25+R26)</f>
        <v>5777.648999999995</v>
      </c>
      <c r="T26" s="68"/>
      <c r="U26" s="69"/>
    </row>
    <row r="27" spans="1:21" ht="23.25" customHeight="1" hidden="1" thickBot="1">
      <c r="A27" s="80" t="s">
        <v>35</v>
      </c>
      <c r="B27" s="81" t="s">
        <v>21</v>
      </c>
      <c r="C27" s="81">
        <v>8297.82</v>
      </c>
      <c r="D27" s="82">
        <f>SUM(D26+C27)</f>
        <v>11741.599999999997</v>
      </c>
      <c r="E27" s="82">
        <f>SUM(E26+D27)</f>
        <v>12609.169999999995</v>
      </c>
      <c r="F27" s="82">
        <f>SUM(F26+E27)</f>
        <v>19973.862499999996</v>
      </c>
      <c r="G27" s="82">
        <f>SUM(G26+F27)</f>
        <v>29284.69849999999</v>
      </c>
      <c r="H27" s="82">
        <f>SUM(H26+G27)</f>
        <v>30115.531999999992</v>
      </c>
      <c r="I27" s="71">
        <f aca="true" t="shared" si="9" ref="I27:R27">SUM(I25+H27)</f>
        <v>31147.35549999999</v>
      </c>
      <c r="J27" s="71">
        <f t="shared" si="9"/>
        <v>32113.90899999999</v>
      </c>
      <c r="K27" s="71">
        <f t="shared" si="9"/>
        <v>33159.90249999999</v>
      </c>
      <c r="L27" s="71">
        <f t="shared" si="9"/>
        <v>34137.68599999999</v>
      </c>
      <c r="M27" s="71">
        <f t="shared" si="9"/>
        <v>32100.819499999987</v>
      </c>
      <c r="N27" s="71">
        <f t="shared" si="9"/>
        <v>32791.768499999984</v>
      </c>
      <c r="O27" s="71">
        <f t="shared" si="9"/>
        <v>33479.12749999998</v>
      </c>
      <c r="P27" s="71">
        <f t="shared" si="9"/>
        <v>34034.81649999998</v>
      </c>
      <c r="Q27" s="71">
        <f t="shared" si="9"/>
        <v>34459.175499999976</v>
      </c>
      <c r="R27" s="71">
        <f t="shared" si="9"/>
        <v>34750.10449999997</v>
      </c>
      <c r="S27" s="71">
        <f>SUM(S25+R27)</f>
        <v>35062.347499999974</v>
      </c>
      <c r="T27" s="71"/>
      <c r="U27" s="53"/>
    </row>
    <row r="28" spans="1:20" ht="24.75" customHeight="1" hidden="1" thickBot="1">
      <c r="A28" s="20" t="s">
        <v>36</v>
      </c>
      <c r="B28" s="41"/>
      <c r="C28" s="41"/>
      <c r="D28" s="41"/>
      <c r="E28" s="41"/>
      <c r="F28" s="41"/>
      <c r="G28" s="41"/>
      <c r="H28" s="40"/>
      <c r="I28" s="5"/>
      <c r="J28" s="6"/>
      <c r="K28" s="6"/>
      <c r="L28" s="6"/>
      <c r="M28" s="6"/>
      <c r="N28" s="51"/>
      <c r="O28" s="51"/>
      <c r="P28" s="51"/>
      <c r="Q28" s="51"/>
      <c r="R28" s="51"/>
      <c r="S28" s="33"/>
      <c r="T28" s="24"/>
    </row>
    <row r="29" spans="1:20" ht="27" customHeight="1" hidden="1" thickBot="1">
      <c r="A29" s="20" t="s">
        <v>37</v>
      </c>
      <c r="B29" s="41"/>
      <c r="C29" s="41"/>
      <c r="D29" s="41"/>
      <c r="E29" s="41"/>
      <c r="F29" s="41"/>
      <c r="G29" s="41"/>
      <c r="H29" s="40"/>
      <c r="I29" s="5"/>
      <c r="J29" s="6"/>
      <c r="K29" s="6"/>
      <c r="L29" s="6"/>
      <c r="M29" s="6"/>
      <c r="N29" s="49"/>
      <c r="O29" s="49"/>
      <c r="P29" s="49"/>
      <c r="Q29" s="49"/>
      <c r="R29" s="49"/>
      <c r="S29" s="31"/>
      <c r="T29" s="25"/>
    </row>
    <row r="30" spans="1:21" ht="9" customHeight="1" hidden="1" thickBot="1">
      <c r="A30" s="20" t="s">
        <v>37</v>
      </c>
      <c r="B30" s="18" t="s">
        <v>41</v>
      </c>
      <c r="C30" s="54"/>
      <c r="D30" s="54"/>
      <c r="E30" s="54"/>
      <c r="F30" s="54"/>
      <c r="G30" s="54"/>
      <c r="H30" s="42"/>
      <c r="I30" s="34"/>
      <c r="J30" s="10"/>
      <c r="K30" s="10"/>
      <c r="L30" s="10"/>
      <c r="M30" s="10"/>
      <c r="N30" s="10"/>
      <c r="O30" s="6"/>
      <c r="P30" s="6"/>
      <c r="Q30" s="6"/>
      <c r="R30" s="6"/>
      <c r="S30" s="7"/>
      <c r="T30" s="32"/>
      <c r="U30" s="26"/>
    </row>
    <row r="31" spans="1:21" ht="15" customHeight="1" hidden="1" thickBot="1">
      <c r="A31" s="20" t="s">
        <v>38</v>
      </c>
      <c r="B31" s="18" t="s">
        <v>22</v>
      </c>
      <c r="C31" s="54"/>
      <c r="D31" s="54"/>
      <c r="E31" s="54"/>
      <c r="F31" s="54"/>
      <c r="G31" s="54"/>
      <c r="H31" s="42"/>
      <c r="I31" s="34"/>
      <c r="J31" s="10"/>
      <c r="K31" s="10"/>
      <c r="L31" s="10"/>
      <c r="M31" s="10"/>
      <c r="N31" s="10"/>
      <c r="O31" s="6"/>
      <c r="P31" s="6"/>
      <c r="Q31" s="6"/>
      <c r="R31" s="6"/>
      <c r="S31" s="7"/>
      <c r="T31" s="31"/>
      <c r="U31" s="27"/>
    </row>
    <row r="32" spans="1:21" ht="0.75" customHeight="1" hidden="1" thickBot="1">
      <c r="A32" s="21" t="s">
        <v>39</v>
      </c>
      <c r="H32" s="8"/>
      <c r="I32" s="8"/>
      <c r="J32" s="8"/>
      <c r="K32" s="8"/>
      <c r="L32" s="8"/>
      <c r="M32" s="8"/>
      <c r="N32" s="8"/>
      <c r="O32" s="10"/>
      <c r="P32" s="10"/>
      <c r="Q32" s="10"/>
      <c r="R32" s="10"/>
      <c r="S32" s="11">
        <f>SUM(R28-S30)</f>
        <v>0</v>
      </c>
      <c r="T32" s="34"/>
      <c r="U32" s="28"/>
    </row>
    <row r="33" spans="1:21" ht="24" customHeight="1" hidden="1" thickBot="1">
      <c r="A33" s="21" t="s">
        <v>40</v>
      </c>
      <c r="O33" s="10"/>
      <c r="P33" s="10"/>
      <c r="Q33" s="10"/>
      <c r="R33" s="10"/>
      <c r="S33" s="11">
        <f>SUM(R29-S30)</f>
        <v>0</v>
      </c>
      <c r="T33" s="34"/>
      <c r="U33" s="28"/>
    </row>
    <row r="34" spans="15:21" ht="11.25" customHeight="1">
      <c r="O34" s="8"/>
      <c r="P34" s="8"/>
      <c r="Q34" s="8"/>
      <c r="R34" s="8"/>
      <c r="S34" s="8"/>
      <c r="T34" s="8"/>
      <c r="U34" s="9"/>
    </row>
    <row r="35" ht="12.75" hidden="1"/>
    <row r="36" ht="0.75" customHeight="1"/>
    <row r="37" ht="12.75" hidden="1">
      <c r="B37" t="s">
        <v>45</v>
      </c>
    </row>
    <row r="38" ht="12.75" hidden="1"/>
    <row r="39" ht="12.75">
      <c r="B39" t="s">
        <v>54</v>
      </c>
    </row>
    <row r="42" ht="12.75" customHeight="1"/>
    <row r="43" ht="12.75" customHeight="1"/>
  </sheetData>
  <sheetProtection/>
  <mergeCells count="5">
    <mergeCell ref="B4:U4"/>
    <mergeCell ref="B5:U5"/>
    <mergeCell ref="B3:U3"/>
    <mergeCell ref="B1:J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2021-02-05T07:11:51Z</cp:lastPrinted>
  <dcterms:created xsi:type="dcterms:W3CDTF">2011-06-16T11:06:26Z</dcterms:created>
  <dcterms:modified xsi:type="dcterms:W3CDTF">2021-02-18T10:34:03Z</dcterms:modified>
  <cp:category/>
  <cp:version/>
  <cp:contentType/>
  <cp:contentStatus/>
</cp:coreProperties>
</file>