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<sst xmlns="http://schemas.openxmlformats.org/spreadsheetml/2006/main" count="80" uniqueCount="79">
  <si>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</si>
  <si>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</si>
  <si>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</si>
  <si>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</si>
  <si>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</si>
  <si>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</si>
  <si>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</si>
  <si>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</si>
  <si>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</si>
  <si>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</si>
  <si>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</si>
  <si>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</si>
  <si>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</si>
  <si>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</si>
  <si>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</si>
  <si>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</si>
  <si>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</si>
  <si>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</si>
  <si>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</si>
  <si>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</si>
  <si>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</si>
  <si>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</si>
  <si>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</si>
  <si>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</si>
  <si>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</si>
  <si>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</si>
  <si>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</si>
  <si>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</si>
  <si>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</si>
  <si>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</si>
  <si>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</si>
  <si>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</si>
  <si>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</si>
  <si>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</si>
  <si>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</si>
  <si>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</si>
  <si>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</si>
  <si>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</si>
  <si>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</si>
  <si>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</si>
  <si>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6</t>
  </si>
  <si>
    <t>7</t>
  </si>
  <si>
    <t>8</t>
  </si>
  <si>
    <t>9</t>
  </si>
  <si>
    <t>по жилому дому г. Унеча ул. Комсомольская д.10 А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</si>
  <si>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</si>
  <si>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</si>
  <si>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</si>
  <si>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</si>
  <si>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</si>
  <si>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</si>
  <si>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</si>
  <si>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</si>
  <si>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</si>
  <si>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4.13</t>
  </si>
  <si>
    <t>Итого за 2013г</t>
  </si>
  <si>
    <t>Итого за 2014г</t>
  </si>
  <si>
    <t>рентабельность 5%</t>
  </si>
  <si>
    <t>Итого за 2015г</t>
  </si>
  <si>
    <t xml:space="preserve">Материалы </t>
  </si>
  <si>
    <t>Проверка вент.каналов</t>
  </si>
  <si>
    <t>4.11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</si>
  <si>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</si>
  <si>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</si>
  <si>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</si>
  <si>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>Исполнитель вед. экономист  /Викторова Л.С./</t>
  </si>
  <si>
    <t xml:space="preserve">Услуги агентские,охрана труда,отопление, хол.вода, эл.энегрия   </t>
  </si>
  <si>
    <t>Итого за 2016г</t>
  </si>
  <si>
    <t>Итого за 2017г</t>
  </si>
  <si>
    <t>Электроэнергия  СОИД</t>
  </si>
  <si>
    <t>Начислено СОИД</t>
  </si>
  <si>
    <t>Итого за 2018г</t>
  </si>
  <si>
    <t>Итого за 2019г</t>
  </si>
  <si>
    <t>Дом по ул.Комсомольская д.10 А вступил в ООО "Наш дом" с ноября 2009 года   тариф 10,35 р. С января 2019 года тариф 9,6 руб.</t>
  </si>
  <si>
    <t>ООО "НД УНЕЧА"</t>
  </si>
  <si>
    <t>Итого за 2020г</t>
  </si>
  <si>
    <t>Всего за 2009-2020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</si>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</sst>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9" xfId="0" applyFont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4" fillId="0" borderId="31" xfId="0" applyFont="1" applyBorder="1" applyAlignment="1">
      <alignment wrapText="1"/>
    </xf>
    <xf numFmtId="0" fontId="21" fillId="0" borderId="32" xfId="0" applyFont="1" applyBorder="1" applyAlignment="1">
      <alignment horizontal="left" wrapText="1"/>
    </xf>
    <xf numFmtId="49" fontId="21" fillId="0" borderId="31" xfId="0" applyNumberFormat="1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2" borderId="34" xfId="0" applyFont="1" applyFill="1" applyBorder="1" applyAlignment="1">
      <alignment wrapText="1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2" borderId="38" xfId="0" applyFont="1" applyFill="1" applyBorder="1" applyAlignment="1">
      <alignment wrapText="1"/>
    </xf>
    <xf numFmtId="0" fontId="21" fillId="0" borderId="39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29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29" xfId="0" applyFont="1" applyBorder="1" applyAlignment="1">
      <alignment/>
    </xf>
    <xf numFmtId="0" fontId="21" fillId="0" borderId="38" xfId="0" applyFont="1" applyBorder="1" applyAlignment="1">
      <alignment/>
    </xf>
    <xf numFmtId="0" fontId="20" fillId="2" borderId="38" xfId="0" applyFont="1" applyFill="1" applyBorder="1" applyAlignment="1">
      <alignment/>
    </xf>
    <xf numFmtId="2" fontId="25" fillId="0" borderId="26" xfId="0" applyNumberFormat="1" applyFont="1" applyBorder="1" applyAlignment="1">
      <alignment/>
    </xf>
    <xf numFmtId="0" fontId="21" fillId="0" borderId="43" xfId="0" applyFont="1" applyBorder="1" applyAlignment="1">
      <alignment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0" fontId="20" fillId="2" borderId="26" xfId="0" applyFont="1" applyFill="1" applyBorder="1" applyAlignment="1">
      <alignment/>
    </xf>
    <xf numFmtId="0" fontId="26" fillId="0" borderId="40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30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49" fontId="22" fillId="0" borderId="36" xfId="0" applyNumberFormat="1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27" fillId="0" borderId="23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6" xfId="0" applyFont="1" applyBorder="1" applyAlignment="1">
      <alignment/>
    </xf>
    <xf numFmtId="0" fontId="22" fillId="0" borderId="0" xfId="0" applyFont="1" applyAlignment="1">
      <alignment/>
    </xf>
    <xf numFmtId="0" fontId="27" fillId="0" borderId="48" xfId="0" applyFont="1" applyBorder="1" applyAlignment="1">
      <alignment wrapText="1"/>
    </xf>
    <xf numFmtId="0" fontId="27" fillId="0" borderId="39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2" fontId="27" fillId="0" borderId="26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4" fillId="0" borderId="43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49" xfId="0" applyFont="1" applyBorder="1" applyAlignment="1">
      <alignment wrapText="1"/>
    </xf>
    <xf numFmtId="0" fontId="21" fillId="0" borderId="5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0">
      <selection activeCell="B13" sqref="B13"/>
    </sheetView>
  </sheetViews>
  <sheetFormatPr defaultColWidth="9.00390625" defaultRowHeight="12.75"/>
  <cols>
    <col min="1" max="1" width="4.375" style="35" customWidth="1"/>
    <col min="2" max="2" width="18.75390625" style="0" customWidth="1"/>
    <col min="3" max="3" width="6.125" style="0" hidden="1" customWidth="1"/>
    <col min="4" max="5" width="7.875" style="0" hidden="1" customWidth="1"/>
    <col min="6" max="8" width="9.00390625" style="0" hidden="1" customWidth="1"/>
    <col min="9" max="9" width="0.12890625" style="0" hidden="1" customWidth="1"/>
    <col min="10" max="10" width="10.25390625" style="0" hidden="1" customWidth="1"/>
    <col min="11" max="11" width="8.25390625" style="0" hidden="1" customWidth="1"/>
    <col min="12" max="13" width="9.25390625" style="0" hidden="1" customWidth="1"/>
    <col min="14" max="14" width="9.00390625" style="0" customWidth="1"/>
    <col min="15" max="15" width="9.375" style="0" customWidth="1"/>
    <col min="16" max="16" width="8.625" style="0" customWidth="1"/>
    <col min="17" max="17" width="8.00390625" style="0" customWidth="1"/>
    <col min="18" max="18" width="9.125" style="0" customWidth="1"/>
    <col min="19" max="19" width="8.125" style="0" customWidth="1"/>
    <col min="20" max="20" width="8.25390625" style="0" customWidth="1"/>
    <col min="21" max="22" width="8.375" style="0" customWidth="1"/>
    <col min="23" max="23" width="8.00390625" style="0" customWidth="1"/>
    <col min="24" max="24" width="8.625" style="0" customWidth="1"/>
    <col min="25" max="25" width="8.125" style="0" customWidth="1"/>
    <col min="26" max="26" width="9.125" style="0" customWidth="1"/>
    <col min="27" max="27" width="9.75390625" style="0" customWidth="1"/>
  </cols>
  <sheetData>
    <row r="1" spans="2:32" ht="12.75" customHeight="1">
      <c r="B1" s="109" t="s">
        <v>74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109" t="s">
        <v>73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10"/>
      <c r="AA2" s="4"/>
      <c r="AB2" s="4"/>
      <c r="AC2" s="4"/>
      <c r="AD2" s="4"/>
      <c r="AE2" s="4"/>
      <c r="AF2" s="4"/>
    </row>
    <row r="3" spans="2:32" ht="12.75" customHeight="1"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3"/>
      <c r="AC3" s="3"/>
      <c r="AD3" s="3"/>
      <c r="AE3" s="3"/>
      <c r="AF3" s="3"/>
    </row>
    <row r="4" spans="2:32" ht="15.75" customHeight="1">
      <c r="B4" s="107" t="s">
        <v>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2"/>
      <c r="AC4" s="2"/>
      <c r="AD4" s="2"/>
      <c r="AE4" s="2"/>
      <c r="AF4" s="2"/>
    </row>
    <row r="5" spans="2:32" ht="15.75" customHeight="1" thickBot="1">
      <c r="B5" s="107" t="s">
        <v>44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2"/>
      <c r="AC5" s="2"/>
      <c r="AD5" s="2"/>
      <c r="AE5" s="2"/>
      <c r="AF5" s="2"/>
    </row>
    <row r="6" spans="2:32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</row>
    <row r="7" spans="1:32" ht="34.5" customHeight="1" thickBot="1">
      <c r="A7" s="45" t="s">
        <v>26</v>
      </c>
      <c r="B7" s="36" t="s">
        <v>6</v>
      </c>
      <c r="C7" s="48" t="s">
        <v>45</v>
      </c>
      <c r="D7" s="52" t="s">
        <v>46</v>
      </c>
      <c r="E7" s="76" t="s">
        <v>49</v>
      </c>
      <c r="F7" s="64" t="s">
        <v>51</v>
      </c>
      <c r="G7" s="64" t="s">
        <v>55</v>
      </c>
      <c r="H7" s="64" t="s">
        <v>56</v>
      </c>
      <c r="I7" s="64" t="s">
        <v>58</v>
      </c>
      <c r="J7" s="64" t="s">
        <v>67</v>
      </c>
      <c r="K7" s="64" t="s">
        <v>68</v>
      </c>
      <c r="L7" s="64" t="s">
        <v>71</v>
      </c>
      <c r="M7" s="64" t="s">
        <v>72</v>
      </c>
      <c r="N7" s="6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19</v>
      </c>
      <c r="X7" s="5" t="s">
        <v>21</v>
      </c>
      <c r="Y7" s="17" t="s">
        <v>20</v>
      </c>
      <c r="Z7" s="64" t="s">
        <v>75</v>
      </c>
      <c r="AA7" s="24" t="s">
        <v>76</v>
      </c>
      <c r="AB7" s="1"/>
      <c r="AC7" s="1"/>
      <c r="AD7" s="1"/>
      <c r="AE7" s="1"/>
      <c r="AF7" s="1"/>
    </row>
    <row r="8" spans="1:27" ht="12.75">
      <c r="A8" s="46" t="s">
        <v>27</v>
      </c>
      <c r="B8" s="37" t="s">
        <v>1</v>
      </c>
      <c r="C8" s="73">
        <v>13257.2</v>
      </c>
      <c r="D8" s="74">
        <v>79678.44</v>
      </c>
      <c r="E8" s="77">
        <v>86666.2</v>
      </c>
      <c r="F8" s="75">
        <v>90588.97</v>
      </c>
      <c r="G8" s="74">
        <v>90641.76</v>
      </c>
      <c r="H8" s="75">
        <v>90325.05</v>
      </c>
      <c r="I8" s="74">
        <v>90219.48</v>
      </c>
      <c r="J8" s="74">
        <v>90219.48</v>
      </c>
      <c r="K8" s="74">
        <v>90219.48</v>
      </c>
      <c r="L8" s="74">
        <v>90219.48</v>
      </c>
      <c r="M8" s="74">
        <v>83664</v>
      </c>
      <c r="N8" s="7">
        <v>6967.68</v>
      </c>
      <c r="O8" s="7">
        <v>6967.68</v>
      </c>
      <c r="P8" s="7">
        <v>6967.68</v>
      </c>
      <c r="Q8" s="7">
        <v>6967.68</v>
      </c>
      <c r="R8" s="7">
        <v>6967.68</v>
      </c>
      <c r="S8" s="7">
        <v>6967.68</v>
      </c>
      <c r="T8" s="7">
        <v>6967.68</v>
      </c>
      <c r="U8" s="7">
        <v>6967.68</v>
      </c>
      <c r="V8" s="7">
        <v>6967.68</v>
      </c>
      <c r="W8" s="7">
        <v>6967.68</v>
      </c>
      <c r="X8" s="7">
        <v>6967.68</v>
      </c>
      <c r="Y8" s="7">
        <v>6967.68</v>
      </c>
      <c r="Z8" s="65">
        <f>SUM(N8:Y8)</f>
        <v>83612.16</v>
      </c>
      <c r="AA8" s="33">
        <f>SUM(C8:Y8)</f>
        <v>979311.7000000005</v>
      </c>
    </row>
    <row r="9" spans="1:27" ht="12.75">
      <c r="A9" s="46"/>
      <c r="B9" s="37" t="s">
        <v>70</v>
      </c>
      <c r="C9" s="73"/>
      <c r="D9" s="75"/>
      <c r="E9" s="77"/>
      <c r="F9" s="75"/>
      <c r="G9" s="75"/>
      <c r="H9" s="75"/>
      <c r="I9" s="75"/>
      <c r="J9" s="75">
        <v>0</v>
      </c>
      <c r="K9" s="75">
        <v>8928.06</v>
      </c>
      <c r="L9" s="75">
        <v>7090.59</v>
      </c>
      <c r="M9" s="75">
        <v>577.65</v>
      </c>
      <c r="N9" s="7">
        <v>48.31</v>
      </c>
      <c r="O9" s="7">
        <v>48.31</v>
      </c>
      <c r="P9" s="7">
        <v>48.31</v>
      </c>
      <c r="Q9" s="7">
        <v>48.31</v>
      </c>
      <c r="R9" s="7">
        <v>48.31</v>
      </c>
      <c r="S9" s="7">
        <v>48.31</v>
      </c>
      <c r="T9" s="8">
        <v>50.26</v>
      </c>
      <c r="U9" s="8">
        <v>50.26</v>
      </c>
      <c r="V9" s="8">
        <v>50.26</v>
      </c>
      <c r="W9" s="8">
        <v>50.26</v>
      </c>
      <c r="X9" s="8">
        <v>50.26</v>
      </c>
      <c r="Y9" s="8">
        <v>50.26</v>
      </c>
      <c r="Z9" s="65">
        <f>SUM(N9:Y9)</f>
        <v>591.42</v>
      </c>
      <c r="AA9" s="33">
        <f>SUM(C9:Y9)</f>
        <v>17187.719999999998</v>
      </c>
    </row>
    <row r="10" spans="1:27" ht="13.5" thickBot="1">
      <c r="A10" s="46"/>
      <c r="B10" s="102" t="s">
        <v>77</v>
      </c>
      <c r="C10" s="103"/>
      <c r="D10" s="104"/>
      <c r="E10" s="105"/>
      <c r="F10" s="104"/>
      <c r="G10" s="104"/>
      <c r="H10" s="104"/>
      <c r="I10" s="104"/>
      <c r="J10" s="104"/>
      <c r="K10" s="104"/>
      <c r="L10" s="104"/>
      <c r="M10" s="104"/>
      <c r="N10" s="106">
        <v>400</v>
      </c>
      <c r="O10" s="106">
        <v>400</v>
      </c>
      <c r="P10" s="106">
        <v>400</v>
      </c>
      <c r="Q10" s="106">
        <v>400</v>
      </c>
      <c r="R10" s="106">
        <v>400</v>
      </c>
      <c r="S10" s="106">
        <v>400</v>
      </c>
      <c r="T10" s="106">
        <v>400</v>
      </c>
      <c r="U10" s="106">
        <v>400</v>
      </c>
      <c r="V10" s="106">
        <v>400</v>
      </c>
      <c r="W10" s="106">
        <v>400</v>
      </c>
      <c r="X10" s="106">
        <v>400</v>
      </c>
      <c r="Y10" s="106">
        <v>400</v>
      </c>
      <c r="Z10" s="65">
        <f>SUM(N10:Y10)</f>
        <v>4800</v>
      </c>
      <c r="AA10" s="33">
        <f>SUM(C10:Y10)</f>
        <v>4800</v>
      </c>
    </row>
    <row r="11" spans="1:27" s="94" customFormat="1" ht="13.5" thickBot="1">
      <c r="A11" s="87" t="s">
        <v>28</v>
      </c>
      <c r="B11" s="88" t="s">
        <v>2</v>
      </c>
      <c r="C11" s="89">
        <v>8063.57</v>
      </c>
      <c r="D11" s="90">
        <f aca="true" t="shared" si="0" ref="D11:N11">SUM(D12:D24)</f>
        <v>73899.58</v>
      </c>
      <c r="E11" s="91">
        <f t="shared" si="0"/>
        <v>76179.17</v>
      </c>
      <c r="F11" s="90">
        <f t="shared" si="0"/>
        <v>71840.71</v>
      </c>
      <c r="G11" s="90">
        <f t="shared" si="0"/>
        <v>110853.25000000001</v>
      </c>
      <c r="H11" s="90">
        <f t="shared" si="0"/>
        <v>80685.6</v>
      </c>
      <c r="I11" s="90">
        <f>SUM(I12:I24)</f>
        <v>80744.79999999999</v>
      </c>
      <c r="J11" s="90">
        <f>SUM(J12:J24)</f>
        <v>84875.79</v>
      </c>
      <c r="K11" s="90">
        <f>SUM(K12:K24)</f>
        <v>84262.59000000001</v>
      </c>
      <c r="L11" s="90">
        <f t="shared" si="0"/>
        <v>105321.35</v>
      </c>
      <c r="M11" s="90">
        <f t="shared" si="0"/>
        <v>68535.73000000001</v>
      </c>
      <c r="N11" s="92">
        <f t="shared" si="0"/>
        <v>8964.85</v>
      </c>
      <c r="O11" s="92">
        <f aca="true" t="shared" si="1" ref="O11:Y11">SUM(O12:O24)</f>
        <v>5286.69</v>
      </c>
      <c r="P11" s="92">
        <f t="shared" si="1"/>
        <v>9605.019999999999</v>
      </c>
      <c r="Q11" s="92">
        <f t="shared" si="1"/>
        <v>5274.32</v>
      </c>
      <c r="R11" s="92">
        <f t="shared" si="1"/>
        <v>8597.62</v>
      </c>
      <c r="S11" s="92">
        <f t="shared" si="1"/>
        <v>5363.43</v>
      </c>
      <c r="T11" s="92">
        <f t="shared" si="1"/>
        <v>6838.640000000001</v>
      </c>
      <c r="U11" s="92">
        <f t="shared" si="1"/>
        <v>5985.319999999999</v>
      </c>
      <c r="V11" s="92">
        <f t="shared" si="1"/>
        <v>6265.830000000001</v>
      </c>
      <c r="W11" s="92">
        <f t="shared" si="1"/>
        <v>6501.98</v>
      </c>
      <c r="X11" s="92">
        <f t="shared" si="1"/>
        <v>6762.38</v>
      </c>
      <c r="Y11" s="89">
        <f t="shared" si="1"/>
        <v>6995.78</v>
      </c>
      <c r="Z11" s="90">
        <f>SUM(N11:Y11)</f>
        <v>82441.86</v>
      </c>
      <c r="AA11" s="93">
        <f>SUM(C11:Y11)</f>
        <v>927703.9999999998</v>
      </c>
    </row>
    <row r="12" spans="1:27" ht="13.5" thickBot="1">
      <c r="A12" s="46" t="s">
        <v>29</v>
      </c>
      <c r="B12" s="39" t="s">
        <v>78</v>
      </c>
      <c r="C12" s="57"/>
      <c r="D12" s="58">
        <v>16394.18</v>
      </c>
      <c r="E12" s="78">
        <v>18360.52</v>
      </c>
      <c r="F12" s="58">
        <v>16469.68</v>
      </c>
      <c r="G12" s="58">
        <v>18784.75</v>
      </c>
      <c r="H12" s="58">
        <v>20612.51</v>
      </c>
      <c r="I12" s="58">
        <v>19287.86</v>
      </c>
      <c r="J12" s="58">
        <v>18374.59</v>
      </c>
      <c r="K12" s="58">
        <v>18096.09</v>
      </c>
      <c r="L12" s="58">
        <v>18243.56</v>
      </c>
      <c r="M12" s="58">
        <v>180.16</v>
      </c>
      <c r="N12" s="7"/>
      <c r="O12" s="8">
        <v>11.75</v>
      </c>
      <c r="P12" s="8">
        <v>13.66</v>
      </c>
      <c r="Q12" s="8">
        <v>15.32</v>
      </c>
      <c r="R12" s="8">
        <v>24.53</v>
      </c>
      <c r="S12" s="8">
        <v>18.06</v>
      </c>
      <c r="T12" s="8">
        <v>28.63</v>
      </c>
      <c r="U12" s="8">
        <v>29.64</v>
      </c>
      <c r="V12" s="8">
        <v>70.37</v>
      </c>
      <c r="W12" s="8">
        <v>29.13</v>
      </c>
      <c r="X12" s="8">
        <v>2.17</v>
      </c>
      <c r="Y12" s="18">
        <v>2.88</v>
      </c>
      <c r="Z12" s="63">
        <f aca="true" t="shared" si="2" ref="Z12:Z26">SUM(N12:Y12)</f>
        <v>246.14</v>
      </c>
      <c r="AA12" s="34">
        <f aca="true" t="shared" si="3" ref="AA12:AA24">SUM(C12:Y12)</f>
        <v>165050.04000000004</v>
      </c>
    </row>
    <row r="13" spans="1:27" ht="14.25" customHeight="1" thickBot="1">
      <c r="A13" s="46" t="s">
        <v>30</v>
      </c>
      <c r="B13" s="40" t="s">
        <v>62</v>
      </c>
      <c r="C13" s="59"/>
      <c r="D13" s="60">
        <v>20245.2</v>
      </c>
      <c r="E13" s="79">
        <v>7293.99</v>
      </c>
      <c r="F13" s="60">
        <v>723.82</v>
      </c>
      <c r="G13" s="60">
        <v>5152.28</v>
      </c>
      <c r="H13" s="60">
        <v>8282.44</v>
      </c>
      <c r="I13" s="60">
        <v>3228</v>
      </c>
      <c r="J13" s="60">
        <v>5183.67</v>
      </c>
      <c r="K13" s="60">
        <v>2400</v>
      </c>
      <c r="L13" s="60">
        <v>4130</v>
      </c>
      <c r="M13" s="60">
        <v>1200</v>
      </c>
      <c r="N13" s="9">
        <v>3200</v>
      </c>
      <c r="O13" s="10"/>
      <c r="P13" s="10"/>
      <c r="Q13" s="10"/>
      <c r="R13" s="10">
        <v>3200</v>
      </c>
      <c r="S13" s="10"/>
      <c r="T13" s="10">
        <v>890</v>
      </c>
      <c r="U13" s="10"/>
      <c r="V13" s="10"/>
      <c r="W13" s="10"/>
      <c r="X13" s="10"/>
      <c r="Y13" s="19"/>
      <c r="Z13" s="63">
        <f t="shared" si="2"/>
        <v>7290</v>
      </c>
      <c r="AA13" s="68">
        <f>SUM(C13:Y13)</f>
        <v>65129.4</v>
      </c>
    </row>
    <row r="14" spans="1:27" ht="23.25" customHeight="1" thickBot="1">
      <c r="A14" s="46" t="s">
        <v>31</v>
      </c>
      <c r="B14" s="38" t="s">
        <v>4</v>
      </c>
      <c r="C14" s="59"/>
      <c r="D14" s="60">
        <v>4339.78</v>
      </c>
      <c r="E14" s="79">
        <v>0</v>
      </c>
      <c r="F14" s="60">
        <v>0</v>
      </c>
      <c r="G14" s="60">
        <v>5247.46</v>
      </c>
      <c r="H14" s="60"/>
      <c r="I14" s="60">
        <v>0</v>
      </c>
      <c r="J14" s="60">
        <v>5813.1</v>
      </c>
      <c r="K14" s="60">
        <v>0</v>
      </c>
      <c r="L14" s="60">
        <v>8434.07</v>
      </c>
      <c r="M14" s="60">
        <v>4019.6</v>
      </c>
      <c r="N14" s="9"/>
      <c r="O14" s="10"/>
      <c r="P14" s="10">
        <v>4202.7</v>
      </c>
      <c r="Q14" s="10"/>
      <c r="R14" s="10"/>
      <c r="S14" s="10"/>
      <c r="T14" s="10"/>
      <c r="U14" s="10"/>
      <c r="V14" s="10"/>
      <c r="W14" s="10"/>
      <c r="X14" s="10"/>
      <c r="Y14" s="19"/>
      <c r="Z14" s="63">
        <f t="shared" si="2"/>
        <v>4202.7</v>
      </c>
      <c r="AA14" s="34">
        <f t="shared" si="3"/>
        <v>32056.71</v>
      </c>
    </row>
    <row r="15" spans="1:27" ht="12" customHeight="1" thickBot="1">
      <c r="A15" s="46" t="s">
        <v>32</v>
      </c>
      <c r="B15" s="38" t="s">
        <v>60</v>
      </c>
      <c r="C15" s="59"/>
      <c r="D15" s="60"/>
      <c r="E15" s="79"/>
      <c r="F15" s="60"/>
      <c r="G15" s="60"/>
      <c r="H15" s="60"/>
      <c r="I15" s="60">
        <v>1200</v>
      </c>
      <c r="J15" s="60">
        <v>0</v>
      </c>
      <c r="K15" s="60">
        <v>0</v>
      </c>
      <c r="L15" s="60">
        <v>400</v>
      </c>
      <c r="M15" s="60">
        <v>600</v>
      </c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9"/>
      <c r="Z15" s="63">
        <f>SUM(N15:Y15)</f>
        <v>0</v>
      </c>
      <c r="AA15" s="34">
        <f>SUM(C15:Y15)</f>
        <v>2200</v>
      </c>
    </row>
    <row r="16" spans="1:27" ht="15" customHeight="1" thickBot="1">
      <c r="A16" s="46" t="s">
        <v>33</v>
      </c>
      <c r="B16" s="40" t="s">
        <v>59</v>
      </c>
      <c r="C16" s="59"/>
      <c r="D16" s="60">
        <v>5540.22</v>
      </c>
      <c r="E16" s="79">
        <v>2259.67</v>
      </c>
      <c r="F16" s="60">
        <v>1826.61</v>
      </c>
      <c r="G16" s="60">
        <v>28582.59</v>
      </c>
      <c r="H16" s="60">
        <v>342.45</v>
      </c>
      <c r="I16" s="60">
        <v>654.39</v>
      </c>
      <c r="J16" s="60">
        <v>900.26</v>
      </c>
      <c r="K16" s="60">
        <v>325.1</v>
      </c>
      <c r="L16" s="60">
        <v>7204.51</v>
      </c>
      <c r="M16" s="60">
        <v>595.73</v>
      </c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9"/>
      <c r="Z16" s="63">
        <f t="shared" si="2"/>
        <v>0</v>
      </c>
      <c r="AA16" s="34">
        <f t="shared" si="3"/>
        <v>48231.53</v>
      </c>
    </row>
    <row r="17" spans="1:27" ht="22.5" customHeight="1" thickBot="1">
      <c r="A17" s="46" t="s">
        <v>34</v>
      </c>
      <c r="B17" s="40" t="s">
        <v>52</v>
      </c>
      <c r="C17" s="59">
        <v>0</v>
      </c>
      <c r="D17" s="60">
        <v>0</v>
      </c>
      <c r="E17" s="79">
        <v>0</v>
      </c>
      <c r="F17" s="60">
        <v>256</v>
      </c>
      <c r="G17" s="60">
        <v>0</v>
      </c>
      <c r="H17" s="60">
        <v>16.48</v>
      </c>
      <c r="I17" s="60">
        <v>0</v>
      </c>
      <c r="J17" s="60">
        <v>51</v>
      </c>
      <c r="K17" s="60">
        <v>8</v>
      </c>
      <c r="L17" s="60">
        <v>0</v>
      </c>
      <c r="M17" s="60">
        <v>85.72</v>
      </c>
      <c r="N17" s="9">
        <v>80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9"/>
      <c r="Z17" s="63">
        <f>SUM(N17:Y17)</f>
        <v>80</v>
      </c>
      <c r="AA17" s="34">
        <f>SUM(C17:Y17)</f>
        <v>497.20000000000005</v>
      </c>
    </row>
    <row r="18" spans="1:27" ht="15" customHeight="1" thickBot="1">
      <c r="A18" s="46" t="s">
        <v>35</v>
      </c>
      <c r="B18" s="40" t="s">
        <v>69</v>
      </c>
      <c r="C18" s="59"/>
      <c r="D18" s="60">
        <v>3996.31</v>
      </c>
      <c r="E18" s="79">
        <v>4390.4</v>
      </c>
      <c r="F18" s="60">
        <v>2486.29</v>
      </c>
      <c r="G18" s="60">
        <v>0</v>
      </c>
      <c r="H18" s="60"/>
      <c r="I18" s="60">
        <v>0</v>
      </c>
      <c r="J18" s="60">
        <v>0</v>
      </c>
      <c r="K18" s="60">
        <v>8486.29</v>
      </c>
      <c r="L18" s="60">
        <v>6528.39</v>
      </c>
      <c r="M18" s="60">
        <v>0</v>
      </c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9"/>
      <c r="Z18" s="63">
        <f t="shared" si="2"/>
        <v>0</v>
      </c>
      <c r="AA18" s="34">
        <f t="shared" si="3"/>
        <v>25887.68</v>
      </c>
    </row>
    <row r="19" spans="1:27" ht="25.5" customHeight="1" thickBot="1">
      <c r="A19" s="46" t="s">
        <v>36</v>
      </c>
      <c r="B19" s="40" t="s">
        <v>5</v>
      </c>
      <c r="C19" s="59"/>
      <c r="D19" s="60">
        <v>1144.21</v>
      </c>
      <c r="E19" s="79">
        <v>482.49</v>
      </c>
      <c r="F19" s="60">
        <v>429.45</v>
      </c>
      <c r="G19" s="60">
        <v>420.73</v>
      </c>
      <c r="H19" s="60"/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9"/>
      <c r="Z19" s="63">
        <f t="shared" si="2"/>
        <v>0</v>
      </c>
      <c r="AA19" s="34">
        <f t="shared" si="3"/>
        <v>2476.88</v>
      </c>
    </row>
    <row r="20" spans="1:27" ht="38.25" customHeight="1" thickBot="1">
      <c r="A20" s="46" t="s">
        <v>37</v>
      </c>
      <c r="B20" s="40" t="s">
        <v>63</v>
      </c>
      <c r="C20" s="59"/>
      <c r="D20" s="60">
        <v>985.26</v>
      </c>
      <c r="E20" s="79">
        <v>3518.58</v>
      </c>
      <c r="F20" s="60">
        <v>4637.82</v>
      </c>
      <c r="G20" s="60">
        <v>4930.86</v>
      </c>
      <c r="H20" s="60">
        <v>2962.86</v>
      </c>
      <c r="I20" s="60">
        <v>3491.09</v>
      </c>
      <c r="J20" s="60">
        <v>3691.74</v>
      </c>
      <c r="K20" s="60">
        <v>3750.63</v>
      </c>
      <c r="L20" s="60">
        <v>3941.41</v>
      </c>
      <c r="M20" s="60">
        <v>3189.88</v>
      </c>
      <c r="N20" s="9">
        <v>234.13</v>
      </c>
      <c r="O20" s="10">
        <v>209.88</v>
      </c>
      <c r="P20" s="10">
        <v>260.93</v>
      </c>
      <c r="Q20" s="10">
        <v>203.99</v>
      </c>
      <c r="R20" s="10">
        <v>211.06</v>
      </c>
      <c r="S20" s="10">
        <v>213.04</v>
      </c>
      <c r="T20" s="10">
        <v>246.39</v>
      </c>
      <c r="U20" s="10">
        <v>307.06</v>
      </c>
      <c r="V20" s="10">
        <v>294.65</v>
      </c>
      <c r="W20" s="10">
        <v>342.47</v>
      </c>
      <c r="X20" s="10">
        <v>318.51</v>
      </c>
      <c r="Y20" s="19">
        <v>290.75</v>
      </c>
      <c r="Z20" s="63">
        <f t="shared" si="2"/>
        <v>3132.8600000000006</v>
      </c>
      <c r="AA20" s="34">
        <f t="shared" si="3"/>
        <v>38232.98999999999</v>
      </c>
    </row>
    <row r="21" spans="1:27" ht="33" customHeight="1" thickBot="1">
      <c r="A21" s="46" t="s">
        <v>38</v>
      </c>
      <c r="B21" s="40" t="s">
        <v>64</v>
      </c>
      <c r="C21" s="59"/>
      <c r="D21" s="60">
        <v>1713.89</v>
      </c>
      <c r="E21" s="79">
        <v>2190.31</v>
      </c>
      <c r="F21" s="60">
        <v>628.31</v>
      </c>
      <c r="G21" s="60">
        <v>411.33</v>
      </c>
      <c r="H21" s="60">
        <v>890.87</v>
      </c>
      <c r="I21" s="60">
        <v>601.66</v>
      </c>
      <c r="J21" s="60">
        <v>525.18</v>
      </c>
      <c r="K21" s="60">
        <v>410.29</v>
      </c>
      <c r="L21" s="60">
        <v>397.59</v>
      </c>
      <c r="M21" s="60">
        <v>361.21</v>
      </c>
      <c r="N21" s="9">
        <v>13.44</v>
      </c>
      <c r="O21" s="10">
        <v>19.05</v>
      </c>
      <c r="P21" s="10">
        <v>18.25</v>
      </c>
      <c r="Q21" s="10">
        <v>18.23</v>
      </c>
      <c r="R21" s="10">
        <v>17.78</v>
      </c>
      <c r="S21" s="10">
        <v>15.54</v>
      </c>
      <c r="T21" s="10">
        <v>35.04</v>
      </c>
      <c r="U21" s="10">
        <v>18.18</v>
      </c>
      <c r="V21" s="10">
        <v>11.1</v>
      </c>
      <c r="W21" s="10">
        <v>33.54</v>
      </c>
      <c r="X21" s="10">
        <v>14.42</v>
      </c>
      <c r="Y21" s="19">
        <v>39.28</v>
      </c>
      <c r="Z21" s="63">
        <f t="shared" si="2"/>
        <v>253.84999999999997</v>
      </c>
      <c r="AA21" s="34">
        <f t="shared" si="3"/>
        <v>8384.490000000005</v>
      </c>
    </row>
    <row r="22" spans="1:27" ht="36" customHeight="1" thickBot="1">
      <c r="A22" s="46" t="s">
        <v>61</v>
      </c>
      <c r="B22" s="40" t="s">
        <v>66</v>
      </c>
      <c r="C22" s="59"/>
      <c r="D22" s="60">
        <v>735.11</v>
      </c>
      <c r="E22" s="79">
        <v>3161.83</v>
      </c>
      <c r="F22" s="60">
        <v>3005.84</v>
      </c>
      <c r="G22" s="60">
        <v>4035.03</v>
      </c>
      <c r="H22" s="60">
        <v>3457.26</v>
      </c>
      <c r="I22" s="60">
        <v>4490.48</v>
      </c>
      <c r="J22" s="60">
        <v>3841.52</v>
      </c>
      <c r="K22" s="60">
        <v>4046.19</v>
      </c>
      <c r="L22" s="60">
        <v>4432.37</v>
      </c>
      <c r="M22" s="60">
        <v>4809.31</v>
      </c>
      <c r="N22" s="9">
        <f>9.56+125.97+205.42</f>
        <v>340.95</v>
      </c>
      <c r="O22" s="10">
        <f>9.92+147.98+220.37</f>
        <v>378.27</v>
      </c>
      <c r="P22" s="10">
        <f>9.46+133.49+225.92</f>
        <v>368.87</v>
      </c>
      <c r="Q22" s="10">
        <f>11.75+157.03+210.92</f>
        <v>379.7</v>
      </c>
      <c r="R22" s="10">
        <f>9.89+196.23+209.35</f>
        <v>415.47</v>
      </c>
      <c r="S22" s="10">
        <f>9.6+165.64+197.45</f>
        <v>372.68999999999994</v>
      </c>
      <c r="T22" s="10">
        <f>10.38+135.18+200.32</f>
        <v>345.88</v>
      </c>
      <c r="U22" s="10">
        <f>194.4+9.81+136.31</f>
        <v>340.52</v>
      </c>
      <c r="V22" s="10">
        <f>175.71+300.19</f>
        <v>475.9</v>
      </c>
      <c r="W22" s="10">
        <f>10.33+293.43+292.15</f>
        <v>595.91</v>
      </c>
      <c r="X22" s="10">
        <f>11.36+235.66+281.25</f>
        <v>528.27</v>
      </c>
      <c r="Y22" s="19">
        <f>12.82+327.41+258.05</f>
        <v>598.28</v>
      </c>
      <c r="Z22" s="63">
        <f t="shared" si="2"/>
        <v>5140.71</v>
      </c>
      <c r="AA22" s="34">
        <f t="shared" si="3"/>
        <v>41155.649999999994</v>
      </c>
    </row>
    <row r="23" spans="1:27" ht="16.5" customHeight="1" thickBot="1">
      <c r="A23" s="46" t="s">
        <v>53</v>
      </c>
      <c r="B23" s="40" t="s">
        <v>8</v>
      </c>
      <c r="C23" s="59"/>
      <c r="D23" s="60">
        <v>15927.76</v>
      </c>
      <c r="E23" s="79">
        <v>29747.52</v>
      </c>
      <c r="F23" s="60">
        <v>37707.68</v>
      </c>
      <c r="G23" s="60">
        <v>39865.58</v>
      </c>
      <c r="H23" s="60">
        <v>40662.42</v>
      </c>
      <c r="I23" s="60">
        <v>44384.63</v>
      </c>
      <c r="J23" s="60">
        <v>43088.05</v>
      </c>
      <c r="K23" s="60">
        <v>43032.92</v>
      </c>
      <c r="L23" s="60">
        <v>47900.1</v>
      </c>
      <c r="M23" s="60">
        <v>50292.41</v>
      </c>
      <c r="N23" s="9">
        <f>8964.85-4133.44</f>
        <v>4831.410000000001</v>
      </c>
      <c r="O23" s="10">
        <f>5286.69-883.87</f>
        <v>4402.82</v>
      </c>
      <c r="P23" s="10">
        <f>9605.02-5114.29</f>
        <v>4490.7300000000005</v>
      </c>
      <c r="Q23" s="10">
        <f>5274.32-897.2</f>
        <v>4377.12</v>
      </c>
      <c r="R23" s="10">
        <f>8597.62-4133.76</f>
        <v>4463.860000000001</v>
      </c>
      <c r="S23" s="10">
        <f>5363.43-884.25</f>
        <v>4479.18</v>
      </c>
      <c r="T23" s="10">
        <f>6838.64-1788.71</f>
        <v>5049.93</v>
      </c>
      <c r="U23" s="10">
        <f>5985.32-967.51</f>
        <v>5017.8099999999995</v>
      </c>
      <c r="V23" s="10">
        <f>6265.83-1132.06</f>
        <v>5133.77</v>
      </c>
      <c r="W23" s="10">
        <f>6501.98-1266.05</f>
        <v>5235.929999999999</v>
      </c>
      <c r="X23" s="10">
        <f>6762.38-1128.37</f>
        <v>5634.01</v>
      </c>
      <c r="Y23" s="19">
        <f>6995.78-1196.19</f>
        <v>5799.59</v>
      </c>
      <c r="Z23" s="63">
        <f t="shared" si="2"/>
        <v>58916.16</v>
      </c>
      <c r="AA23" s="34">
        <f t="shared" si="3"/>
        <v>451525.2299999999</v>
      </c>
    </row>
    <row r="24" spans="1:27" ht="15.75" customHeight="1" thickBot="1">
      <c r="A24" s="46" t="s">
        <v>54</v>
      </c>
      <c r="B24" s="41" t="s">
        <v>3</v>
      </c>
      <c r="C24" s="61"/>
      <c r="D24" s="62">
        <v>2877.66</v>
      </c>
      <c r="E24" s="80">
        <v>4773.86</v>
      </c>
      <c r="F24" s="62">
        <v>3669.21</v>
      </c>
      <c r="G24" s="62">
        <v>3422.64</v>
      </c>
      <c r="H24" s="62">
        <v>3458.31</v>
      </c>
      <c r="I24" s="62">
        <v>3406.69</v>
      </c>
      <c r="J24" s="62">
        <v>3406.68</v>
      </c>
      <c r="K24" s="62">
        <v>3707.08</v>
      </c>
      <c r="L24" s="62">
        <v>3709.35</v>
      </c>
      <c r="M24" s="62">
        <v>3201.71</v>
      </c>
      <c r="N24" s="11">
        <f>1.82+263.1</f>
        <v>264.92</v>
      </c>
      <c r="O24" s="12">
        <f>1.82+263.1</f>
        <v>264.92</v>
      </c>
      <c r="P24" s="12">
        <f>1.72+248.16</f>
        <v>249.88</v>
      </c>
      <c r="Q24" s="12">
        <f>1.93+278.03</f>
        <v>279.96</v>
      </c>
      <c r="R24" s="12">
        <f>1.82+263.1</f>
        <v>264.92</v>
      </c>
      <c r="S24" s="12">
        <f>1.82+263.1</f>
        <v>264.92</v>
      </c>
      <c r="T24" s="12">
        <f>1.67+241.1</f>
        <v>242.76999999999998</v>
      </c>
      <c r="U24" s="12">
        <f>1.94+270.17</f>
        <v>272.11</v>
      </c>
      <c r="V24" s="12">
        <f>2.01+278.03</f>
        <v>280.03999999999996</v>
      </c>
      <c r="W24" s="12">
        <f>1.9+263.1</f>
        <v>265</v>
      </c>
      <c r="X24" s="12">
        <f>1.9+263.1</f>
        <v>265</v>
      </c>
      <c r="Y24" s="21">
        <f>1.9+263.1</f>
        <v>265</v>
      </c>
      <c r="Z24" s="63">
        <f t="shared" si="2"/>
        <v>3179.44</v>
      </c>
      <c r="AA24" s="34">
        <f t="shared" si="3"/>
        <v>38812.62999999998</v>
      </c>
    </row>
    <row r="25" spans="1:27" ht="13.5" customHeight="1" thickBot="1">
      <c r="A25" s="46"/>
      <c r="B25" s="53" t="s">
        <v>57</v>
      </c>
      <c r="C25" s="70"/>
      <c r="D25" s="71"/>
      <c r="E25" s="81"/>
      <c r="F25" s="71"/>
      <c r="G25" s="71"/>
      <c r="H25" s="83">
        <f>H8*5%</f>
        <v>4516.2525000000005</v>
      </c>
      <c r="I25" s="83">
        <f>I8*5%</f>
        <v>4510.974</v>
      </c>
      <c r="J25" s="86">
        <f>J8*5%</f>
        <v>4510.974</v>
      </c>
      <c r="K25" s="86">
        <f>K8*5%</f>
        <v>4510.974</v>
      </c>
      <c r="L25" s="86">
        <f>L8*5%</f>
        <v>4510.974</v>
      </c>
      <c r="M25" s="86">
        <f>(M8+M9)*5%</f>
        <v>4212.0824999999995</v>
      </c>
      <c r="N25" s="82">
        <f>(N8+N9)*5%</f>
        <v>350.7995000000001</v>
      </c>
      <c r="O25" s="82">
        <f aca="true" t="shared" si="4" ref="O25:Y25">(O8+O9)*5%</f>
        <v>350.7995000000001</v>
      </c>
      <c r="P25" s="82">
        <f t="shared" si="4"/>
        <v>350.7995000000001</v>
      </c>
      <c r="Q25" s="82">
        <f t="shared" si="4"/>
        <v>350.7995000000001</v>
      </c>
      <c r="R25" s="82">
        <f t="shared" si="4"/>
        <v>350.7995000000001</v>
      </c>
      <c r="S25" s="82">
        <f t="shared" si="4"/>
        <v>350.7995000000001</v>
      </c>
      <c r="T25" s="82">
        <f t="shared" si="4"/>
        <v>350.89700000000005</v>
      </c>
      <c r="U25" s="82">
        <f t="shared" si="4"/>
        <v>350.89700000000005</v>
      </c>
      <c r="V25" s="82">
        <f t="shared" si="4"/>
        <v>350.89700000000005</v>
      </c>
      <c r="W25" s="82">
        <f t="shared" si="4"/>
        <v>350.89700000000005</v>
      </c>
      <c r="X25" s="82">
        <f t="shared" si="4"/>
        <v>350.89700000000005</v>
      </c>
      <c r="Y25" s="82">
        <f t="shared" si="4"/>
        <v>350.89700000000005</v>
      </c>
      <c r="Z25" s="83">
        <f t="shared" si="2"/>
        <v>4210.179</v>
      </c>
      <c r="AA25" s="34"/>
    </row>
    <row r="26" spans="1:27" ht="15" customHeight="1" thickBot="1">
      <c r="A26" s="46" t="s">
        <v>39</v>
      </c>
      <c r="B26" s="69" t="s">
        <v>50</v>
      </c>
      <c r="C26" s="70"/>
      <c r="D26" s="71"/>
      <c r="E26" s="81"/>
      <c r="F26" s="71"/>
      <c r="G26" s="71"/>
      <c r="H26" s="71"/>
      <c r="I26" s="71"/>
      <c r="J26" s="71"/>
      <c r="K26" s="83">
        <f>SUM(K8+K9-K11)-K25</f>
        <v>10373.975999999982</v>
      </c>
      <c r="L26" s="83">
        <f>SUM(L8+L9-L11)-L25</f>
        <v>-12522.254000000014</v>
      </c>
      <c r="M26" s="83">
        <f>SUM(M8+M9-M11)-M25</f>
        <v>11493.837499999983</v>
      </c>
      <c r="N26" s="84">
        <f>SUM(N8+N9+N10-N11)-N25</f>
        <v>-1899.6594999999998</v>
      </c>
      <c r="O26" s="84">
        <f aca="true" t="shared" si="5" ref="O26:Y26">SUM(O8+O9+O10-O11)-O25</f>
        <v>1778.500500000001</v>
      </c>
      <c r="P26" s="84">
        <f t="shared" si="5"/>
        <v>-2539.829499999998</v>
      </c>
      <c r="Q26" s="84">
        <f t="shared" si="5"/>
        <v>1790.870500000001</v>
      </c>
      <c r="R26" s="84">
        <f t="shared" si="5"/>
        <v>-1532.4295000000002</v>
      </c>
      <c r="S26" s="84">
        <f t="shared" si="5"/>
        <v>1701.7605000000003</v>
      </c>
      <c r="T26" s="84">
        <f t="shared" si="5"/>
        <v>228.40299999999922</v>
      </c>
      <c r="U26" s="84">
        <f t="shared" si="5"/>
        <v>1081.7230000000018</v>
      </c>
      <c r="V26" s="84">
        <f t="shared" si="5"/>
        <v>801.2129999999996</v>
      </c>
      <c r="W26" s="84">
        <f t="shared" si="5"/>
        <v>565.0630000000009</v>
      </c>
      <c r="X26" s="84">
        <f t="shared" si="5"/>
        <v>304.66300000000035</v>
      </c>
      <c r="Y26" s="84">
        <f t="shared" si="5"/>
        <v>71.26300000000072</v>
      </c>
      <c r="Z26" s="83">
        <f t="shared" si="2"/>
        <v>2351.541000000007</v>
      </c>
      <c r="AA26" s="34"/>
    </row>
    <row r="27" spans="1:27" ht="21.75" customHeight="1" thickBot="1">
      <c r="A27" s="87" t="s">
        <v>40</v>
      </c>
      <c r="B27" s="95" t="s">
        <v>22</v>
      </c>
      <c r="C27" s="96">
        <v>5193.63</v>
      </c>
      <c r="D27" s="97">
        <v>5778.87</v>
      </c>
      <c r="E27" s="89">
        <f>SUM(E8-E11)</f>
        <v>10487.029999999999</v>
      </c>
      <c r="F27" s="90">
        <f>SUM(F8-F11)</f>
        <v>18748.259999999995</v>
      </c>
      <c r="G27" s="90">
        <f>SUM(G8-G11)</f>
        <v>-20211.49000000002</v>
      </c>
      <c r="H27" s="98">
        <f>SUM(H8-H11)-H25</f>
        <v>5123.197499999997</v>
      </c>
      <c r="I27" s="98">
        <f>SUM(I8-I11)-I25</f>
        <v>4963.706000000007</v>
      </c>
      <c r="J27" s="98">
        <f>SUM(J8-J11)-J25</f>
        <v>832.7160000000022</v>
      </c>
      <c r="K27" s="98">
        <f>SUM(K8+K9-K11)-K25</f>
        <v>10373.975999999982</v>
      </c>
      <c r="L27" s="98">
        <f>SUM(L8+L9-L11)-L25</f>
        <v>-12522.254000000014</v>
      </c>
      <c r="M27" s="98">
        <f>SUM(M8+M9-M11)-M25</f>
        <v>11493.837499999983</v>
      </c>
      <c r="N27" s="99">
        <f>SUM(N8+N9+N10-N11)-N25</f>
        <v>-1899.6594999999998</v>
      </c>
      <c r="O27" s="100">
        <f>SUM(O26+N27)</f>
        <v>-121.15899999999874</v>
      </c>
      <c r="P27" s="100">
        <f aca="true" t="shared" si="6" ref="P27:Y27">SUM(P26+O27)</f>
        <v>-2660.9884999999967</v>
      </c>
      <c r="Q27" s="100">
        <f t="shared" si="6"/>
        <v>-870.1179999999958</v>
      </c>
      <c r="R27" s="100">
        <f t="shared" si="6"/>
        <v>-2402.547499999996</v>
      </c>
      <c r="S27" s="100">
        <f t="shared" si="6"/>
        <v>-700.7869999999957</v>
      </c>
      <c r="T27" s="100">
        <f t="shared" si="6"/>
        <v>-472.3839999999965</v>
      </c>
      <c r="U27" s="100">
        <f t="shared" si="6"/>
        <v>609.3390000000053</v>
      </c>
      <c r="V27" s="100">
        <f t="shared" si="6"/>
        <v>1410.552000000005</v>
      </c>
      <c r="W27" s="100">
        <f t="shared" si="6"/>
        <v>1975.6150000000057</v>
      </c>
      <c r="X27" s="100">
        <f t="shared" si="6"/>
        <v>2280.278000000006</v>
      </c>
      <c r="Y27" s="100">
        <f t="shared" si="6"/>
        <v>2351.541000000007</v>
      </c>
      <c r="Z27" s="90"/>
      <c r="AA27" s="101"/>
    </row>
    <row r="28" spans="1:27" ht="21.75" customHeight="1" thickBot="1">
      <c r="A28" s="46" t="s">
        <v>41</v>
      </c>
      <c r="B28" s="42" t="s">
        <v>23</v>
      </c>
      <c r="C28" s="56">
        <v>5193.63</v>
      </c>
      <c r="D28" s="53">
        <v>10972.25</v>
      </c>
      <c r="E28" s="20">
        <f>SUM(E8-E11,D28)</f>
        <v>21459.28</v>
      </c>
      <c r="F28" s="63">
        <f>SUM(F8-F11,E28)</f>
        <v>40207.53999999999</v>
      </c>
      <c r="G28" s="63">
        <f>SUM(G8-G11,F28)</f>
        <v>19996.049999999974</v>
      </c>
      <c r="H28" s="85">
        <f>SUM(H27+G28)</f>
        <v>25119.24749999997</v>
      </c>
      <c r="I28" s="85">
        <f>SUM(I27+H28)</f>
        <v>30082.953499999974</v>
      </c>
      <c r="J28" s="83">
        <f>SUM(J27+I28)+0.04</f>
        <v>30915.709499999975</v>
      </c>
      <c r="K28" s="83">
        <f>SUM(K27+J28)</f>
        <v>41289.685499999956</v>
      </c>
      <c r="L28" s="83">
        <f>SUM(L27+K28)</f>
        <v>28767.43149999994</v>
      </c>
      <c r="M28" s="83">
        <f>SUM(M27+L28)</f>
        <v>40261.26899999993</v>
      </c>
      <c r="N28" s="83">
        <f>SUM(N27+M28)</f>
        <v>38361.609499999926</v>
      </c>
      <c r="O28" s="84">
        <f>SUM(O26+N28)</f>
        <v>40140.10999999993</v>
      </c>
      <c r="P28" s="84">
        <f>SUM(P26+O28)</f>
        <v>37600.28049999993</v>
      </c>
      <c r="Q28" s="84">
        <f aca="true" t="shared" si="7" ref="Q28:X28">SUM(Q26+P28)</f>
        <v>39391.150999999925</v>
      </c>
      <c r="R28" s="84">
        <f t="shared" si="7"/>
        <v>37858.72149999993</v>
      </c>
      <c r="S28" s="84">
        <f t="shared" si="7"/>
        <v>39560.48199999993</v>
      </c>
      <c r="T28" s="84">
        <f t="shared" si="7"/>
        <v>39788.88499999993</v>
      </c>
      <c r="U28" s="84">
        <f t="shared" si="7"/>
        <v>40870.607999999935</v>
      </c>
      <c r="V28" s="84">
        <f>SUM(V26+U28)</f>
        <v>41671.82099999993</v>
      </c>
      <c r="W28" s="84">
        <f t="shared" si="7"/>
        <v>42236.88399999993</v>
      </c>
      <c r="X28" s="84">
        <f t="shared" si="7"/>
        <v>42541.54699999993</v>
      </c>
      <c r="Y28" s="84">
        <f>SUM(Y26+X28)</f>
        <v>42612.80999999993</v>
      </c>
      <c r="Z28" s="63"/>
      <c r="AA28" s="34"/>
    </row>
    <row r="29" spans="1:27" ht="9.75" customHeight="1" hidden="1" thickBot="1">
      <c r="A29" s="46" t="s">
        <v>41</v>
      </c>
      <c r="B29" s="53" t="s">
        <v>7</v>
      </c>
      <c r="C29" s="49"/>
      <c r="D29" s="53"/>
      <c r="E29" s="53"/>
      <c r="F29" s="49"/>
      <c r="G29" s="49"/>
      <c r="H29" s="49"/>
      <c r="I29" s="49"/>
      <c r="J29" s="49"/>
      <c r="K29" s="49"/>
      <c r="L29" s="49"/>
      <c r="M29" s="49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2"/>
      <c r="Z29" s="63"/>
      <c r="AA29" s="26"/>
    </row>
    <row r="30" spans="1:27" ht="15" customHeight="1" hidden="1" thickBot="1">
      <c r="A30" s="46" t="s">
        <v>42</v>
      </c>
      <c r="B30" s="43" t="s">
        <v>24</v>
      </c>
      <c r="C30" s="50"/>
      <c r="D30" s="54"/>
      <c r="E30" s="54"/>
      <c r="F30" s="50"/>
      <c r="G30" s="50"/>
      <c r="H30" s="50"/>
      <c r="I30" s="50"/>
      <c r="J30" s="50"/>
      <c r="K30" s="50"/>
      <c r="L30" s="50"/>
      <c r="M30" s="50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23"/>
      <c r="Z30" s="66"/>
      <c r="AA30" s="25"/>
    </row>
    <row r="31" spans="1:27" ht="24" customHeight="1" hidden="1" thickBot="1">
      <c r="A31" s="47" t="s">
        <v>43</v>
      </c>
      <c r="B31" s="44" t="s">
        <v>48</v>
      </c>
      <c r="C31" s="51"/>
      <c r="D31" s="55"/>
      <c r="E31" s="55"/>
      <c r="F31" s="51"/>
      <c r="G31" s="51"/>
      <c r="H31" s="51"/>
      <c r="I31" s="51"/>
      <c r="J31" s="51"/>
      <c r="K31" s="51"/>
      <c r="L31" s="51"/>
      <c r="M31" s="5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>
        <f>SUM(Y27-Y29)</f>
        <v>2351.541000000007</v>
      </c>
      <c r="Z31" s="67"/>
      <c r="AA31" s="32"/>
    </row>
    <row r="32" spans="1:27" ht="24" customHeight="1" hidden="1" thickBot="1">
      <c r="A32" s="47" t="s">
        <v>47</v>
      </c>
      <c r="B32" s="44" t="s">
        <v>25</v>
      </c>
      <c r="C32" s="51"/>
      <c r="D32" s="55"/>
      <c r="E32" s="51"/>
      <c r="F32" s="51"/>
      <c r="G32" s="51"/>
      <c r="H32" s="51"/>
      <c r="I32" s="51"/>
      <c r="J32" s="51"/>
      <c r="K32" s="51"/>
      <c r="L32" s="51"/>
      <c r="M32" s="51"/>
      <c r="N32" s="72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f>SUM(Y28-Y29)</f>
        <v>42612.80999999993</v>
      </c>
      <c r="Z32" s="67"/>
      <c r="AA32" s="32"/>
    </row>
    <row r="33" spans="2:27" ht="15.75" customHeight="1" hidden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</row>
    <row r="34" ht="12" customHeight="1">
      <c r="B34" t="s">
        <v>65</v>
      </c>
    </row>
    <row r="35" ht="6.75" customHeight="1" hidden="1"/>
    <row r="40" ht="12.75" customHeight="1"/>
    <row r="41" ht="12.75" customHeight="1"/>
  </sheetData>
  <sheetProtection/>
  <mergeCells count="5">
    <mergeCell ref="B4:AA4"/>
    <mergeCell ref="B5:AA5"/>
    <mergeCell ref="B3:AA3"/>
    <mergeCell ref="B1:P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2021-02-04T11:38:26Z</cp:lastPrinted>
  <dcterms:created xsi:type="dcterms:W3CDTF">2011-06-16T11:06:26Z</dcterms:created>
  <dcterms:modified xsi:type="dcterms:W3CDTF">2021-02-04T11:38:49Z</dcterms:modified>
  <cp:category/>
  <cp:version/>
  <cp:contentType/>
  <cp:contentStatus/>
</cp:coreProperties>
</file>