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<sst xmlns="http://schemas.openxmlformats.org/spreadsheetml/2006/main" count="79" uniqueCount="78">
  <si>
    <t>СПРАВКА</t>
  </si>
  <si>
    <t xml:space="preserve">Начислено  </t>
  </si>
  <si>
    <t>Расходы</t>
  </si>
  <si>
    <t>Услуги РИРЦ</t>
  </si>
  <si>
    <t>Тех.обслуж.газового обор.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</si>
  <si>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</si>
  <si>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</si>
  <si>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</si>
  <si>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</si>
  <si>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</si>
  <si>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</si>
  <si>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</si>
  <si>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</si>
  <si>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</si>
  <si>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</si>
  <si>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</si>
  <si>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</si>
  <si>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</si>
  <si>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</si>
  <si>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</si>
  <si>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</si>
  <si>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</si>
  <si>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</si>
  <si>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</si>
  <si>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</si>
  <si>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</si>
  <si>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</si>
  <si>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</si>
  <si>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</si>
  <si>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</si>
  <si>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</si>
  <si>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</si>
  <si>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</si>
  <si>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</si>
  <si>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</si>
  <si>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</si>
  <si>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</si>
  <si>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</si>
  <si>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5</t>
  </si>
  <si>
    <t>6</t>
  </si>
  <si>
    <t>7</t>
  </si>
  <si>
    <t>8</t>
  </si>
  <si>
    <t>9</t>
  </si>
  <si>
    <t>по жилому дому г. Унеча ул. Комсомольская д.11</t>
  </si>
  <si>
    <t>за 2010 г</t>
  </si>
  <si>
    <t>10</t>
  </si>
  <si>
    <t>Финансовый результат по дому с начала года</t>
  </si>
  <si>
    <t>Итого за 2011 г</t>
  </si>
  <si>
    <t>Результат за месяц</t>
  </si>
  <si>
    <t>Итого за 2012 г</t>
  </si>
  <si>
    <t>Благоустройство территории</t>
  </si>
  <si>
    <t>4.13</t>
  </si>
  <si>
    <t>4.14</t>
  </si>
  <si>
    <t>Итого за 2013 г</t>
  </si>
  <si>
    <t>Итого за 2014 г</t>
  </si>
  <si>
    <t>рентабельность 5%</t>
  </si>
  <si>
    <t xml:space="preserve">Материалы </t>
  </si>
  <si>
    <t>Итого за 2015 г</t>
  </si>
  <si>
    <t>Услуги сторонних орган.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</si>
  <si>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</si>
  <si>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</si>
  <si>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</si>
  <si>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Проверка вент.каналов</t>
  </si>
  <si>
    <t>Исполнитель  вед. экономист /Викторова Л.С./</t>
  </si>
  <si>
    <t>Итого за 2016 г</t>
  </si>
  <si>
    <t>Итого за 2017 г</t>
  </si>
  <si>
    <t>Начислено СОИД</t>
  </si>
  <si>
    <t>Электроэнергия СОИД</t>
  </si>
  <si>
    <t>Горячая вода СОИД</t>
  </si>
  <si>
    <t>Дератизация</t>
  </si>
  <si>
    <t>Итого за 2018 г</t>
  </si>
  <si>
    <t>Итого за 2019 г</t>
  </si>
  <si>
    <t>Дом по ул.Комсомольской д. 11 вступил в ООО "Наш дом" с февраля 2010 года            тариф 9,2 руб  с января 2019 года тариф 8,6 руб</t>
  </si>
  <si>
    <t>ООО "НД УНЕЧА"</t>
  </si>
  <si>
    <t>Итого за 2020 г</t>
  </si>
  <si>
    <t>Всего за 2010-2020</t>
  </si>
  <si>
    <t>Прочие доходы</t>
  </si>
  <si>
    <t>Утилизация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</si>
</sst>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95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5" xfId="0" applyFont="1" applyBorder="1" applyAlignment="1">
      <alignment/>
    </xf>
    <xf numFmtId="0" fontId="23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7" xfId="0" applyFont="1" applyFill="1" applyBorder="1" applyAlignment="1">
      <alignment/>
    </xf>
    <xf numFmtId="0" fontId="0" fillId="2" borderId="26" xfId="0" applyFill="1" applyBorder="1" applyAlignment="1">
      <alignment/>
    </xf>
    <xf numFmtId="0" fontId="25" fillId="0" borderId="26" xfId="0" applyFont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8" xfId="0" applyFont="1" applyBorder="1" applyAlignment="1">
      <alignment horizontal="left" vertical="center" wrapText="1"/>
    </xf>
    <xf numFmtId="0" fontId="24" fillId="0" borderId="29" xfId="0" applyFont="1" applyBorder="1" applyAlignment="1">
      <alignment wrapText="1"/>
    </xf>
    <xf numFmtId="0" fontId="21" fillId="0" borderId="30" xfId="0" applyFont="1" applyBorder="1" applyAlignment="1">
      <alignment horizontal="left" wrapText="1"/>
    </xf>
    <xf numFmtId="49" fontId="21" fillId="0" borderId="29" xfId="0" applyNumberFormat="1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21" fillId="2" borderId="32" xfId="0" applyFont="1" applyFill="1" applyBorder="1" applyAlignment="1">
      <alignment wrapText="1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0" fontId="23" fillId="0" borderId="26" xfId="0" applyFont="1" applyBorder="1" applyAlignment="1">
      <alignment horizontal="left" vertical="center" wrapText="1"/>
    </xf>
    <xf numFmtId="0" fontId="21" fillId="0" borderId="26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0" fontId="25" fillId="0" borderId="33" xfId="0" applyFont="1" applyBorder="1" applyAlignment="1">
      <alignment/>
    </xf>
    <xf numFmtId="0" fontId="19" fillId="0" borderId="26" xfId="0" applyFont="1" applyBorder="1" applyAlignment="1">
      <alignment horizontal="center" vertical="center" wrapText="1"/>
    </xf>
    <xf numFmtId="0" fontId="21" fillId="0" borderId="37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36" xfId="0" applyFont="1" applyBorder="1" applyAlignment="1">
      <alignment/>
    </xf>
    <xf numFmtId="0" fontId="20" fillId="2" borderId="36" xfId="0" applyFont="1" applyFill="1" applyBorder="1" applyAlignment="1">
      <alignment/>
    </xf>
    <xf numFmtId="2" fontId="21" fillId="0" borderId="36" xfId="0" applyNumberFormat="1" applyFont="1" applyBorder="1" applyAlignment="1">
      <alignment horizontal="right" wrapText="1"/>
    </xf>
    <xf numFmtId="0" fontId="26" fillId="0" borderId="33" xfId="0" applyFont="1" applyBorder="1" applyAlignment="1">
      <alignment wrapText="1"/>
    </xf>
    <xf numFmtId="0" fontId="21" fillId="0" borderId="23" xfId="0" applyFont="1" applyBorder="1" applyAlignment="1">
      <alignment wrapText="1"/>
    </xf>
    <xf numFmtId="0" fontId="21" fillId="0" borderId="27" xfId="0" applyFont="1" applyBorder="1" applyAlignment="1">
      <alignment wrapText="1"/>
    </xf>
    <xf numFmtId="0" fontId="21" fillId="2" borderId="27" xfId="0" applyFont="1" applyFill="1" applyBorder="1" applyAlignment="1">
      <alignment wrapText="1"/>
    </xf>
    <xf numFmtId="0" fontId="19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wrapText="1"/>
    </xf>
    <xf numFmtId="2" fontId="21" fillId="0" borderId="39" xfId="0" applyNumberFormat="1" applyFont="1" applyBorder="1" applyAlignment="1">
      <alignment horizontal="right"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41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2" fontId="21" fillId="0" borderId="26" xfId="0" applyNumberFormat="1" applyFont="1" applyBorder="1" applyAlignment="1">
      <alignment/>
    </xf>
    <xf numFmtId="2" fontId="21" fillId="0" borderId="27" xfId="0" applyNumberFormat="1" applyFont="1" applyBorder="1" applyAlignment="1">
      <alignment/>
    </xf>
    <xf numFmtId="2" fontId="21" fillId="0" borderId="23" xfId="0" applyNumberFormat="1" applyFont="1" applyBorder="1" applyAlignment="1">
      <alignment/>
    </xf>
    <xf numFmtId="0" fontId="26" fillId="0" borderId="37" xfId="0" applyFont="1" applyBorder="1" applyAlignment="1">
      <alignment wrapText="1"/>
    </xf>
    <xf numFmtId="2" fontId="21" fillId="0" borderId="36" xfId="0" applyNumberFormat="1" applyFont="1" applyBorder="1" applyAlignment="1">
      <alignment/>
    </xf>
    <xf numFmtId="2" fontId="21" fillId="0" borderId="28" xfId="0" applyNumberFormat="1" applyFont="1" applyBorder="1" applyAlignment="1">
      <alignment/>
    </xf>
    <xf numFmtId="49" fontId="22" fillId="0" borderId="34" xfId="0" applyNumberFormat="1" applyFont="1" applyBorder="1" applyAlignment="1">
      <alignment horizontal="center"/>
    </xf>
    <xf numFmtId="0" fontId="19" fillId="0" borderId="28" xfId="0" applyFont="1" applyBorder="1" applyAlignment="1">
      <alignment wrapText="1"/>
    </xf>
    <xf numFmtId="0" fontId="27" fillId="0" borderId="26" xfId="0" applyFont="1" applyBorder="1" applyAlignment="1">
      <alignment/>
    </xf>
    <xf numFmtId="0" fontId="27" fillId="0" borderId="23" xfId="0" applyFont="1" applyBorder="1" applyAlignment="1">
      <alignment/>
    </xf>
    <xf numFmtId="0" fontId="27" fillId="0" borderId="11" xfId="0" applyFont="1" applyBorder="1" applyAlignment="1">
      <alignment/>
    </xf>
    <xf numFmtId="0" fontId="28" fillId="0" borderId="26" xfId="0" applyFont="1" applyBorder="1" applyAlignment="1">
      <alignment/>
    </xf>
    <xf numFmtId="0" fontId="22" fillId="0" borderId="0" xfId="0" applyFont="1" applyAlignment="1">
      <alignment/>
    </xf>
    <xf numFmtId="0" fontId="27" fillId="0" borderId="26" xfId="0" applyFont="1" applyBorder="1" applyAlignment="1">
      <alignment wrapText="1"/>
    </xf>
    <xf numFmtId="2" fontId="27" fillId="0" borderId="26" xfId="0" applyNumberFormat="1" applyFont="1" applyBorder="1" applyAlignment="1">
      <alignment/>
    </xf>
    <xf numFmtId="2" fontId="27" fillId="0" borderId="23" xfId="0" applyNumberFormat="1" applyFont="1" applyBorder="1" applyAlignment="1">
      <alignment/>
    </xf>
    <xf numFmtId="0" fontId="22" fillId="0" borderId="26" xfId="0" applyFont="1" applyBorder="1" applyAlignment="1">
      <alignment/>
    </xf>
    <xf numFmtId="0" fontId="24" fillId="0" borderId="43" xfId="0" applyFont="1" applyBorder="1" applyAlignment="1">
      <alignment wrapText="1"/>
    </xf>
    <xf numFmtId="0" fontId="26" fillId="0" borderId="44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1" fillId="0" borderId="45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"/>
  <sheetViews>
    <sheetView tabSelected="1" zoomScalePageLayoutView="0" workbookViewId="0" topLeftCell="B13">
      <selection activeCell="B12" sqref="B12"/>
    </sheetView>
  </sheetViews>
  <sheetFormatPr defaultColWidth="9.00390625" defaultRowHeight="12.75"/>
  <cols>
    <col min="1" max="1" width="3.125" style="33" hidden="1" customWidth="1"/>
    <col min="2" max="2" width="18.125" style="0" customWidth="1"/>
    <col min="3" max="3" width="9.875" style="0" hidden="1" customWidth="1"/>
    <col min="4" max="4" width="9.125" style="0" hidden="1" customWidth="1"/>
    <col min="5" max="6" width="9.375" style="0" hidden="1" customWidth="1"/>
    <col min="7" max="7" width="9.125" style="0" hidden="1" customWidth="1"/>
    <col min="8" max="8" width="9.25390625" style="0" hidden="1" customWidth="1"/>
    <col min="9" max="9" width="8.75390625" style="0" hidden="1" customWidth="1"/>
    <col min="10" max="12" width="9.125" style="0" hidden="1" customWidth="1"/>
    <col min="13" max="13" width="9.25390625" style="0" customWidth="1"/>
    <col min="14" max="16" width="8.625" style="0" customWidth="1"/>
    <col min="17" max="17" width="10.00390625" style="0" customWidth="1"/>
    <col min="18" max="18" width="10.125" style="0" customWidth="1"/>
    <col min="19" max="19" width="9.00390625" style="0" customWidth="1"/>
    <col min="20" max="20" width="9.25390625" style="0" customWidth="1"/>
    <col min="21" max="21" width="9.00390625" style="0" customWidth="1"/>
    <col min="22" max="22" width="9.125" style="0" customWidth="1"/>
    <col min="23" max="23" width="8.75390625" style="0" customWidth="1"/>
    <col min="24" max="24" width="8.625" style="0" customWidth="1"/>
    <col min="25" max="25" width="8.125" style="0" customWidth="1"/>
    <col min="26" max="26" width="10.00390625" style="0" customWidth="1"/>
  </cols>
  <sheetData>
    <row r="1" spans="2:31" ht="12.75" customHeight="1">
      <c r="B1" s="93" t="s">
        <v>73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2:31" ht="12.75" customHeight="1">
      <c r="B2" s="93" t="s">
        <v>72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  <c r="W2" s="94"/>
      <c r="X2" s="94"/>
      <c r="Y2" s="94"/>
      <c r="Z2" s="4"/>
      <c r="AA2" s="4"/>
      <c r="AB2" s="4"/>
      <c r="AC2" s="4"/>
      <c r="AD2" s="4"/>
      <c r="AE2" s="4"/>
    </row>
    <row r="3" spans="2:31" ht="12.75" customHeight="1">
      <c r="B3" s="92" t="s">
        <v>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3"/>
      <c r="AB3" s="3"/>
      <c r="AC3" s="3"/>
      <c r="AD3" s="3"/>
      <c r="AE3" s="3"/>
    </row>
    <row r="4" spans="2:31" ht="15" customHeight="1">
      <c r="B4" s="91" t="s">
        <v>8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2"/>
      <c r="AB4" s="2"/>
      <c r="AC4" s="2"/>
      <c r="AD4" s="2"/>
      <c r="AE4" s="2"/>
    </row>
    <row r="5" spans="2:31" ht="16.5" customHeight="1" thickBot="1">
      <c r="B5" s="91" t="s">
        <v>43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2"/>
      <c r="AB5" s="2"/>
      <c r="AC5" s="2"/>
      <c r="AD5" s="2"/>
      <c r="AE5" s="2"/>
    </row>
    <row r="6" spans="1:31" ht="35.25" customHeight="1" thickBot="1">
      <c r="A6" s="43" t="s">
        <v>25</v>
      </c>
      <c r="B6" s="34" t="s">
        <v>5</v>
      </c>
      <c r="C6" s="46" t="s">
        <v>44</v>
      </c>
      <c r="D6" s="64" t="s">
        <v>47</v>
      </c>
      <c r="E6" s="54" t="s">
        <v>49</v>
      </c>
      <c r="F6" s="54" t="s">
        <v>53</v>
      </c>
      <c r="G6" s="54" t="s">
        <v>54</v>
      </c>
      <c r="H6" s="54" t="s">
        <v>57</v>
      </c>
      <c r="I6" s="54" t="s">
        <v>64</v>
      </c>
      <c r="J6" s="54" t="s">
        <v>65</v>
      </c>
      <c r="K6" s="54" t="s">
        <v>70</v>
      </c>
      <c r="L6" s="54" t="s">
        <v>71</v>
      </c>
      <c r="M6" s="6" t="s">
        <v>9</v>
      </c>
      <c r="N6" s="5" t="s">
        <v>10</v>
      </c>
      <c r="O6" s="5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5" t="s">
        <v>16</v>
      </c>
      <c r="U6" s="5" t="s">
        <v>17</v>
      </c>
      <c r="V6" s="5" t="s">
        <v>18</v>
      </c>
      <c r="W6" s="5" t="s">
        <v>20</v>
      </c>
      <c r="X6" s="17" t="s">
        <v>19</v>
      </c>
      <c r="Y6" s="54" t="s">
        <v>74</v>
      </c>
      <c r="Z6" s="24" t="s">
        <v>75</v>
      </c>
      <c r="AA6" s="1"/>
      <c r="AB6" s="1"/>
      <c r="AC6" s="1"/>
      <c r="AD6" s="1"/>
      <c r="AE6" s="1"/>
    </row>
    <row r="7" spans="1:26" ht="13.5" thickBot="1">
      <c r="A7" s="44" t="s">
        <v>26</v>
      </c>
      <c r="B7" s="35" t="s">
        <v>1</v>
      </c>
      <c r="C7" s="60">
        <v>98495.2</v>
      </c>
      <c r="D7" s="65">
        <v>107386.1</v>
      </c>
      <c r="E7" s="60">
        <v>107386.08</v>
      </c>
      <c r="F7" s="60">
        <v>107302.36</v>
      </c>
      <c r="G7" s="73">
        <v>107227.84</v>
      </c>
      <c r="H7" s="60">
        <v>107043.84</v>
      </c>
      <c r="I7" s="60">
        <v>107279.36</v>
      </c>
      <c r="J7" s="60">
        <v>107364</v>
      </c>
      <c r="K7" s="60">
        <v>107364</v>
      </c>
      <c r="L7" s="60">
        <v>100362</v>
      </c>
      <c r="M7" s="7">
        <v>8363.5</v>
      </c>
      <c r="N7" s="7">
        <v>8363.5</v>
      </c>
      <c r="O7" s="7">
        <v>8363.5</v>
      </c>
      <c r="P7" s="7">
        <v>8363.5</v>
      </c>
      <c r="Q7" s="7">
        <v>8363.5</v>
      </c>
      <c r="R7" s="7">
        <v>8363.5</v>
      </c>
      <c r="S7" s="7">
        <v>8363.5</v>
      </c>
      <c r="T7" s="7">
        <v>8363.5</v>
      </c>
      <c r="U7" s="7">
        <v>8363.5</v>
      </c>
      <c r="V7" s="7">
        <v>8363.5</v>
      </c>
      <c r="W7" s="7">
        <v>8363.5</v>
      </c>
      <c r="X7" s="7">
        <v>8363.5</v>
      </c>
      <c r="Y7" s="55">
        <f>SUM(M7:X7)</f>
        <v>100362</v>
      </c>
      <c r="Z7" s="53">
        <f>SUM(C7:X7)</f>
        <v>1157572.7799999998</v>
      </c>
    </row>
    <row r="8" spans="1:26" ht="13.5" thickBot="1">
      <c r="A8" s="44"/>
      <c r="B8" s="35" t="s">
        <v>66</v>
      </c>
      <c r="C8" s="73"/>
      <c r="D8" s="65"/>
      <c r="E8" s="73"/>
      <c r="F8" s="73"/>
      <c r="G8" s="73"/>
      <c r="H8" s="73"/>
      <c r="I8" s="73">
        <v>0</v>
      </c>
      <c r="J8" s="73">
        <v>5623.66</v>
      </c>
      <c r="K8" s="73">
        <v>3174.95</v>
      </c>
      <c r="L8" s="73">
        <v>2193.6</v>
      </c>
      <c r="M8" s="7">
        <f aca="true" t="shared" si="0" ref="M8:R8">27.21+30.86+126.36</f>
        <v>184.43</v>
      </c>
      <c r="N8" s="7">
        <f t="shared" si="0"/>
        <v>184.43</v>
      </c>
      <c r="O8" s="7">
        <f t="shared" si="0"/>
        <v>184.43</v>
      </c>
      <c r="P8" s="7">
        <f t="shared" si="0"/>
        <v>184.43</v>
      </c>
      <c r="Q8" s="7">
        <f t="shared" si="0"/>
        <v>184.43</v>
      </c>
      <c r="R8" s="7">
        <f t="shared" si="0"/>
        <v>184.43</v>
      </c>
      <c r="S8" s="8">
        <f aca="true" t="shared" si="1" ref="S8:X8">32.53+31.52+130.89</f>
        <v>194.94</v>
      </c>
      <c r="T8" s="8">
        <f t="shared" si="1"/>
        <v>194.94</v>
      </c>
      <c r="U8" s="8">
        <f t="shared" si="1"/>
        <v>194.94</v>
      </c>
      <c r="V8" s="8">
        <f t="shared" si="1"/>
        <v>194.94</v>
      </c>
      <c r="W8" s="8">
        <f t="shared" si="1"/>
        <v>194.94</v>
      </c>
      <c r="X8" s="8">
        <f t="shared" si="1"/>
        <v>194.94</v>
      </c>
      <c r="Y8" s="55">
        <f>SUM(M8:X8)</f>
        <v>2276.2200000000003</v>
      </c>
      <c r="Z8" s="53">
        <f>SUM(C8:X8)</f>
        <v>13268.430000000006</v>
      </c>
    </row>
    <row r="9" spans="1:26" ht="13.5" thickBot="1">
      <c r="A9" s="44"/>
      <c r="B9" s="87" t="s">
        <v>76</v>
      </c>
      <c r="C9" s="88"/>
      <c r="D9" s="89"/>
      <c r="E9" s="88"/>
      <c r="F9" s="88"/>
      <c r="G9" s="88"/>
      <c r="H9" s="88"/>
      <c r="I9" s="88"/>
      <c r="J9" s="88"/>
      <c r="K9" s="88"/>
      <c r="L9" s="88"/>
      <c r="M9" s="90">
        <v>400</v>
      </c>
      <c r="N9" s="90">
        <v>400</v>
      </c>
      <c r="O9" s="90">
        <v>400</v>
      </c>
      <c r="P9" s="90">
        <v>400</v>
      </c>
      <c r="Q9" s="90">
        <v>400</v>
      </c>
      <c r="R9" s="90">
        <v>400</v>
      </c>
      <c r="S9" s="90">
        <v>400</v>
      </c>
      <c r="T9" s="90">
        <v>400</v>
      </c>
      <c r="U9" s="90">
        <v>400</v>
      </c>
      <c r="V9" s="90">
        <v>400</v>
      </c>
      <c r="W9" s="90">
        <v>400</v>
      </c>
      <c r="X9" s="90">
        <v>400</v>
      </c>
      <c r="Y9" s="55">
        <f>SUM(M9:X9)</f>
        <v>4800</v>
      </c>
      <c r="Z9" s="53">
        <f>SUM(C9:X9)</f>
        <v>4800</v>
      </c>
    </row>
    <row r="10" spans="1:26" s="82" customFormat="1" ht="13.5" thickBot="1">
      <c r="A10" s="76" t="s">
        <v>27</v>
      </c>
      <c r="B10" s="77" t="s">
        <v>2</v>
      </c>
      <c r="C10" s="78">
        <f aca="true" t="shared" si="2" ref="C10:M10">SUM(C11:C24)</f>
        <v>165927.05999999997</v>
      </c>
      <c r="D10" s="79">
        <f t="shared" si="2"/>
        <v>103397.24</v>
      </c>
      <c r="E10" s="78">
        <f t="shared" si="2"/>
        <v>116076.36999999998</v>
      </c>
      <c r="F10" s="78">
        <f t="shared" si="2"/>
        <v>103252.04</v>
      </c>
      <c r="G10" s="78">
        <f t="shared" si="2"/>
        <v>108244.65</v>
      </c>
      <c r="H10" s="78">
        <f>SUM(H11:H24)</f>
        <v>108040.22999999998</v>
      </c>
      <c r="I10" s="78">
        <f>SUM(I11:I24)</f>
        <v>96253.30000000002</v>
      </c>
      <c r="J10" s="78">
        <f>SUM(J11:J24)</f>
        <v>117289.54</v>
      </c>
      <c r="K10" s="78">
        <f t="shared" si="2"/>
        <v>124210.14000000001</v>
      </c>
      <c r="L10" s="78">
        <f t="shared" si="2"/>
        <v>142658.48</v>
      </c>
      <c r="M10" s="80">
        <f t="shared" si="2"/>
        <v>8587.62</v>
      </c>
      <c r="N10" s="80">
        <f aca="true" t="shared" si="3" ref="N10:X10">SUM(N11:N24)</f>
        <v>12956.56</v>
      </c>
      <c r="O10" s="80">
        <f t="shared" si="3"/>
        <v>12335.73</v>
      </c>
      <c r="P10" s="80">
        <f t="shared" si="3"/>
        <v>7227.2</v>
      </c>
      <c r="Q10" s="80">
        <f t="shared" si="3"/>
        <v>7308.84</v>
      </c>
      <c r="R10" s="80">
        <f t="shared" si="3"/>
        <v>7491.01</v>
      </c>
      <c r="S10" s="80">
        <f t="shared" si="3"/>
        <v>10503.14</v>
      </c>
      <c r="T10" s="80">
        <f t="shared" si="3"/>
        <v>8886.31</v>
      </c>
      <c r="U10" s="80">
        <f t="shared" si="3"/>
        <v>8896.55</v>
      </c>
      <c r="V10" s="80">
        <f t="shared" si="3"/>
        <v>8827.61</v>
      </c>
      <c r="W10" s="80">
        <f t="shared" si="3"/>
        <v>9138.67</v>
      </c>
      <c r="X10" s="79">
        <f t="shared" si="3"/>
        <v>9719.67</v>
      </c>
      <c r="Y10" s="78">
        <f>SUM(M10:X10)</f>
        <v>111878.91</v>
      </c>
      <c r="Z10" s="81">
        <f>SUM(C10:X10)</f>
        <v>1297227.9600000002</v>
      </c>
    </row>
    <row r="11" spans="1:26" ht="13.5" customHeight="1" thickBot="1">
      <c r="A11" s="44" t="s">
        <v>28</v>
      </c>
      <c r="B11" s="37" t="s">
        <v>77</v>
      </c>
      <c r="C11" s="50">
        <v>18508.84</v>
      </c>
      <c r="D11" s="66">
        <v>20758.84</v>
      </c>
      <c r="E11" s="50">
        <v>21510.23</v>
      </c>
      <c r="F11" s="50">
        <v>23897.23</v>
      </c>
      <c r="G11" s="50">
        <v>24525.34</v>
      </c>
      <c r="H11" s="50">
        <v>23133.35</v>
      </c>
      <c r="I11" s="50">
        <v>23207.25</v>
      </c>
      <c r="J11" s="50">
        <v>23971.01</v>
      </c>
      <c r="K11" s="50">
        <v>25998.09</v>
      </c>
      <c r="L11" s="50">
        <v>272.38</v>
      </c>
      <c r="M11" s="7"/>
      <c r="N11" s="8">
        <v>17.42</v>
      </c>
      <c r="O11" s="8">
        <v>20.26</v>
      </c>
      <c r="P11" s="8">
        <v>22.71</v>
      </c>
      <c r="Q11" s="8">
        <v>36.38</v>
      </c>
      <c r="R11" s="8">
        <v>26.77</v>
      </c>
      <c r="S11" s="8">
        <v>42.45</v>
      </c>
      <c r="T11" s="8">
        <v>43.94</v>
      </c>
      <c r="U11" s="8">
        <v>104.34</v>
      </c>
      <c r="V11" s="8">
        <v>44.74</v>
      </c>
      <c r="W11" s="8">
        <v>3.33</v>
      </c>
      <c r="X11" s="18">
        <v>4.43</v>
      </c>
      <c r="Y11" s="56">
        <f aca="true" t="shared" si="4" ref="Y11:Y26">SUM(M11:X11)</f>
        <v>366.77</v>
      </c>
      <c r="Z11" s="32">
        <f aca="true" t="shared" si="5" ref="Z11:Z24">SUM(C11:X11)</f>
        <v>206149.33</v>
      </c>
    </row>
    <row r="12" spans="1:26" ht="24" customHeight="1" thickBot="1">
      <c r="A12" s="44" t="s">
        <v>29</v>
      </c>
      <c r="B12" s="38" t="s">
        <v>58</v>
      </c>
      <c r="C12" s="51">
        <v>22259.67</v>
      </c>
      <c r="D12" s="67">
        <v>9791.87</v>
      </c>
      <c r="E12" s="51">
        <v>1611.03</v>
      </c>
      <c r="F12" s="51">
        <v>8467.6</v>
      </c>
      <c r="G12" s="51">
        <v>787</v>
      </c>
      <c r="H12" s="51">
        <v>1788.46</v>
      </c>
      <c r="I12" s="51">
        <v>59.54</v>
      </c>
      <c r="J12" s="51">
        <v>0</v>
      </c>
      <c r="K12" s="51">
        <v>2425</v>
      </c>
      <c r="L12" s="51">
        <v>1500</v>
      </c>
      <c r="M12" s="9"/>
      <c r="N12" s="10">
        <v>5666.67</v>
      </c>
      <c r="O12" s="10"/>
      <c r="P12" s="10"/>
      <c r="Q12" s="10"/>
      <c r="R12" s="10"/>
      <c r="S12" s="10">
        <v>890</v>
      </c>
      <c r="T12" s="10">
        <v>750</v>
      </c>
      <c r="U12" s="10"/>
      <c r="V12" s="10"/>
      <c r="W12" s="10"/>
      <c r="X12" s="19"/>
      <c r="Y12" s="56">
        <f t="shared" si="4"/>
        <v>7306.67</v>
      </c>
      <c r="Z12" s="32">
        <f t="shared" si="5"/>
        <v>55996.84</v>
      </c>
    </row>
    <row r="13" spans="1:26" ht="21" customHeight="1" thickBot="1">
      <c r="A13" s="44" t="s">
        <v>30</v>
      </c>
      <c r="B13" s="36" t="s">
        <v>4</v>
      </c>
      <c r="C13" s="51">
        <v>0</v>
      </c>
      <c r="D13" s="67">
        <v>2842.27</v>
      </c>
      <c r="E13" s="51">
        <v>0</v>
      </c>
      <c r="F13" s="51">
        <v>0</v>
      </c>
      <c r="G13" s="51">
        <v>3565</v>
      </c>
      <c r="H13" s="51">
        <v>0</v>
      </c>
      <c r="I13" s="51">
        <v>0</v>
      </c>
      <c r="J13" s="51">
        <v>3908.1</v>
      </c>
      <c r="K13" s="51">
        <v>4420.68</v>
      </c>
      <c r="L13" s="51">
        <v>4517.4</v>
      </c>
      <c r="M13" s="9"/>
      <c r="N13" s="10"/>
      <c r="O13" s="10">
        <v>4729.8</v>
      </c>
      <c r="P13" s="10"/>
      <c r="Q13" s="10"/>
      <c r="R13" s="10"/>
      <c r="S13" s="10"/>
      <c r="T13" s="10"/>
      <c r="U13" s="10"/>
      <c r="V13" s="10"/>
      <c r="W13" s="10"/>
      <c r="X13" s="19"/>
      <c r="Y13" s="56">
        <f t="shared" si="4"/>
        <v>4729.8</v>
      </c>
      <c r="Z13" s="32">
        <f t="shared" si="5"/>
        <v>23983.25</v>
      </c>
    </row>
    <row r="14" spans="1:26" ht="12" customHeight="1" thickBot="1">
      <c r="A14" s="44"/>
      <c r="B14" s="36" t="s">
        <v>62</v>
      </c>
      <c r="C14" s="51"/>
      <c r="D14" s="67"/>
      <c r="E14" s="51"/>
      <c r="F14" s="51"/>
      <c r="G14" s="51"/>
      <c r="H14" s="51">
        <v>1000</v>
      </c>
      <c r="I14" s="51">
        <v>1000</v>
      </c>
      <c r="J14" s="51">
        <v>900</v>
      </c>
      <c r="K14" s="51">
        <v>1000</v>
      </c>
      <c r="L14" s="51">
        <v>1200</v>
      </c>
      <c r="M14" s="9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9"/>
      <c r="Y14" s="56">
        <f>SUM(M14:X14)</f>
        <v>0</v>
      </c>
      <c r="Z14" s="32">
        <f>SUM(C14:X14)</f>
        <v>5100</v>
      </c>
    </row>
    <row r="15" spans="1:26" ht="14.25" customHeight="1" thickBot="1">
      <c r="A15" s="44" t="s">
        <v>31</v>
      </c>
      <c r="B15" s="38" t="s">
        <v>56</v>
      </c>
      <c r="C15" s="51">
        <v>60741.35</v>
      </c>
      <c r="D15" s="67">
        <v>6984.07</v>
      </c>
      <c r="E15" s="51">
        <v>22631.76</v>
      </c>
      <c r="F15" s="51">
        <v>386.09</v>
      </c>
      <c r="G15" s="51">
        <v>9808.61</v>
      </c>
      <c r="H15" s="51">
        <v>6669.45</v>
      </c>
      <c r="I15" s="51">
        <v>4990.09</v>
      </c>
      <c r="J15" s="51">
        <v>10400.63</v>
      </c>
      <c r="K15" s="51">
        <v>10232.31</v>
      </c>
      <c r="L15" s="51">
        <v>49334.16</v>
      </c>
      <c r="M15" s="9">
        <v>805.5</v>
      </c>
      <c r="N15" s="10"/>
      <c r="O15" s="10">
        <v>45</v>
      </c>
      <c r="P15" s="10">
        <v>75</v>
      </c>
      <c r="Q15" s="10"/>
      <c r="R15" s="10">
        <v>190.65</v>
      </c>
      <c r="S15" s="10">
        <v>1533.01</v>
      </c>
      <c r="T15" s="10">
        <v>60</v>
      </c>
      <c r="U15" s="10">
        <v>135</v>
      </c>
      <c r="V15" s="10"/>
      <c r="W15" s="10"/>
      <c r="X15" s="19"/>
      <c r="Y15" s="56">
        <f t="shared" si="4"/>
        <v>2844.16</v>
      </c>
      <c r="Z15" s="32">
        <f t="shared" si="5"/>
        <v>185022.68</v>
      </c>
    </row>
    <row r="16" spans="1:26" ht="21.75" customHeight="1" thickBot="1">
      <c r="A16" s="44" t="s">
        <v>32</v>
      </c>
      <c r="B16" s="38" t="s">
        <v>50</v>
      </c>
      <c r="C16" s="51">
        <v>0</v>
      </c>
      <c r="D16" s="67">
        <v>0</v>
      </c>
      <c r="E16" s="51">
        <v>256</v>
      </c>
      <c r="F16" s="51">
        <v>0</v>
      </c>
      <c r="G16" s="51">
        <v>660.61</v>
      </c>
      <c r="H16" s="51">
        <v>0</v>
      </c>
      <c r="I16" s="51">
        <v>186</v>
      </c>
      <c r="J16" s="51">
        <v>82.25</v>
      </c>
      <c r="K16" s="51">
        <v>92</v>
      </c>
      <c r="L16" s="51">
        <v>1047.94</v>
      </c>
      <c r="M16" s="9">
        <v>80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9"/>
      <c r="Y16" s="56">
        <f t="shared" si="4"/>
        <v>80</v>
      </c>
      <c r="Z16" s="32">
        <f t="shared" si="5"/>
        <v>2404.8</v>
      </c>
    </row>
    <row r="17" spans="1:26" ht="12.75" customHeight="1" thickBot="1">
      <c r="A17" s="44" t="s">
        <v>33</v>
      </c>
      <c r="B17" s="38" t="s">
        <v>67</v>
      </c>
      <c r="C17" s="51">
        <v>4590.7</v>
      </c>
      <c r="D17" s="67">
        <v>4724.02</v>
      </c>
      <c r="E17" s="51">
        <v>2790.68</v>
      </c>
      <c r="F17" s="51">
        <v>0</v>
      </c>
      <c r="G17" s="51"/>
      <c r="H17" s="51">
        <v>0</v>
      </c>
      <c r="I17" s="51">
        <v>0</v>
      </c>
      <c r="J17" s="51">
        <v>3464.02</v>
      </c>
      <c r="K17" s="51">
        <v>1054.55</v>
      </c>
      <c r="L17" s="51">
        <v>0</v>
      </c>
      <c r="M17" s="9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9"/>
      <c r="Y17" s="56">
        <f t="shared" si="4"/>
        <v>0</v>
      </c>
      <c r="Z17" s="32">
        <f t="shared" si="5"/>
        <v>16623.97</v>
      </c>
    </row>
    <row r="18" spans="1:26" ht="13.5" customHeight="1" thickBot="1">
      <c r="A18" s="44"/>
      <c r="B18" s="38" t="s">
        <v>68</v>
      </c>
      <c r="C18" s="51"/>
      <c r="D18" s="67"/>
      <c r="E18" s="51"/>
      <c r="F18" s="51"/>
      <c r="G18" s="51"/>
      <c r="H18" s="51"/>
      <c r="I18" s="51"/>
      <c r="J18" s="51">
        <v>1597.67</v>
      </c>
      <c r="K18" s="51">
        <v>1374.13</v>
      </c>
      <c r="L18" s="51">
        <v>1429.82</v>
      </c>
      <c r="M18" s="9">
        <v>126.38</v>
      </c>
      <c r="N18" s="9">
        <v>126.38</v>
      </c>
      <c r="O18" s="10">
        <v>126.38</v>
      </c>
      <c r="P18" s="10">
        <v>126.38</v>
      </c>
      <c r="Q18" s="10">
        <v>126.38</v>
      </c>
      <c r="R18" s="10">
        <v>126.38</v>
      </c>
      <c r="S18" s="10">
        <v>96.31</v>
      </c>
      <c r="T18" s="10">
        <v>130.4</v>
      </c>
      <c r="U18" s="10">
        <v>130.88</v>
      </c>
      <c r="V18" s="10">
        <v>130.88</v>
      </c>
      <c r="W18" s="10">
        <v>130.38</v>
      </c>
      <c r="X18" s="10">
        <v>130.88</v>
      </c>
      <c r="Y18" s="56">
        <f>SUM(M18:X18)</f>
        <v>1508.0100000000002</v>
      </c>
      <c r="Z18" s="32">
        <f>SUM(C18:X18)</f>
        <v>5909.630000000001</v>
      </c>
    </row>
    <row r="19" spans="1:26" ht="15" customHeight="1" thickBot="1">
      <c r="A19" s="44" t="s">
        <v>34</v>
      </c>
      <c r="B19" s="38" t="s">
        <v>69</v>
      </c>
      <c r="C19" s="51">
        <v>489.65</v>
      </c>
      <c r="D19" s="67">
        <v>398.91</v>
      </c>
      <c r="E19" s="51">
        <v>236.59</v>
      </c>
      <c r="F19" s="51">
        <v>419.02</v>
      </c>
      <c r="G19" s="51">
        <v>694.38</v>
      </c>
      <c r="H19" s="51">
        <v>647.23</v>
      </c>
      <c r="I19" s="51">
        <v>488.75</v>
      </c>
      <c r="J19" s="51">
        <v>922.82</v>
      </c>
      <c r="K19" s="51">
        <v>853.36</v>
      </c>
      <c r="L19" s="51">
        <v>798.74</v>
      </c>
      <c r="M19" s="9"/>
      <c r="N19" s="10"/>
      <c r="O19" s="10">
        <v>201.59</v>
      </c>
      <c r="P19" s="10"/>
      <c r="Q19" s="10"/>
      <c r="R19" s="10"/>
      <c r="S19" s="10"/>
      <c r="T19" s="10"/>
      <c r="U19" s="10">
        <v>224.28</v>
      </c>
      <c r="V19" s="10"/>
      <c r="W19" s="10"/>
      <c r="X19" s="19">
        <v>246.41</v>
      </c>
      <c r="Y19" s="56">
        <f t="shared" si="4"/>
        <v>672.28</v>
      </c>
      <c r="Z19" s="32">
        <f t="shared" si="5"/>
        <v>6621.729999999999</v>
      </c>
    </row>
    <row r="20" spans="1:26" ht="34.5" customHeight="1" thickBot="1">
      <c r="A20" s="44" t="s">
        <v>35</v>
      </c>
      <c r="B20" s="38" t="s">
        <v>59</v>
      </c>
      <c r="C20" s="51">
        <v>1325.34</v>
      </c>
      <c r="D20" s="67">
        <v>4722.97</v>
      </c>
      <c r="E20" s="51">
        <v>7531.96</v>
      </c>
      <c r="F20" s="51">
        <v>6077.97</v>
      </c>
      <c r="G20" s="51">
        <v>3857.59</v>
      </c>
      <c r="H20" s="51">
        <v>4659.88</v>
      </c>
      <c r="I20" s="51">
        <v>4939.24</v>
      </c>
      <c r="J20" s="51">
        <v>5021.32</v>
      </c>
      <c r="K20" s="51">
        <v>5276.74</v>
      </c>
      <c r="L20" s="51">
        <v>4271.58</v>
      </c>
      <c r="M20" s="9">
        <v>313.71</v>
      </c>
      <c r="N20" s="10">
        <v>281.22</v>
      </c>
      <c r="O20" s="10">
        <v>349.62</v>
      </c>
      <c r="P20" s="10">
        <v>273.32</v>
      </c>
      <c r="Q20" s="10">
        <v>282.8</v>
      </c>
      <c r="R20" s="10">
        <v>285.45</v>
      </c>
      <c r="S20" s="10">
        <v>330.14</v>
      </c>
      <c r="T20" s="10">
        <v>411.43</v>
      </c>
      <c r="U20" s="10">
        <v>394.8</v>
      </c>
      <c r="V20" s="10">
        <v>458.88</v>
      </c>
      <c r="W20" s="10">
        <v>426.78</v>
      </c>
      <c r="X20" s="19">
        <v>389.58</v>
      </c>
      <c r="Y20" s="56">
        <f t="shared" si="4"/>
        <v>4197.7300000000005</v>
      </c>
      <c r="Z20" s="32">
        <f t="shared" si="5"/>
        <v>51882.32000000001</v>
      </c>
    </row>
    <row r="21" spans="1:26" ht="21" customHeight="1" thickBot="1">
      <c r="A21" s="44" t="s">
        <v>36</v>
      </c>
      <c r="B21" s="38" t="s">
        <v>60</v>
      </c>
      <c r="C21" s="51">
        <v>2342.91</v>
      </c>
      <c r="D21" s="67">
        <v>2571.18</v>
      </c>
      <c r="E21" s="51">
        <v>771.22</v>
      </c>
      <c r="F21" s="51">
        <v>547.81</v>
      </c>
      <c r="G21" s="51">
        <v>1190.62</v>
      </c>
      <c r="H21" s="51">
        <v>803.09</v>
      </c>
      <c r="I21" s="51">
        <v>702.68</v>
      </c>
      <c r="J21" s="51">
        <v>549.27</v>
      </c>
      <c r="K21" s="51">
        <v>532.3</v>
      </c>
      <c r="L21" s="51">
        <v>483.71</v>
      </c>
      <c r="M21" s="9">
        <v>18.01</v>
      </c>
      <c r="N21" s="10">
        <v>25.53</v>
      </c>
      <c r="O21" s="10">
        <v>24.45</v>
      </c>
      <c r="P21" s="10">
        <v>24.43</v>
      </c>
      <c r="Q21" s="10">
        <v>23.82</v>
      </c>
      <c r="R21" s="10">
        <v>20.82</v>
      </c>
      <c r="S21" s="10">
        <v>46.95</v>
      </c>
      <c r="T21" s="10">
        <v>24.36</v>
      </c>
      <c r="U21" s="10">
        <v>14.88</v>
      </c>
      <c r="V21" s="10">
        <v>44.94</v>
      </c>
      <c r="W21" s="10">
        <v>19.32</v>
      </c>
      <c r="X21" s="19">
        <v>52.63</v>
      </c>
      <c r="Y21" s="56">
        <f t="shared" si="4"/>
        <v>340.14</v>
      </c>
      <c r="Z21" s="32">
        <f t="shared" si="5"/>
        <v>10834.93</v>
      </c>
    </row>
    <row r="22" spans="1:26" ht="34.5" customHeight="1" thickBot="1">
      <c r="A22" s="44" t="s">
        <v>37</v>
      </c>
      <c r="B22" s="38" t="s">
        <v>61</v>
      </c>
      <c r="C22" s="51">
        <v>3355.17</v>
      </c>
      <c r="D22" s="67">
        <v>4193.42</v>
      </c>
      <c r="E22" s="51">
        <v>4008.79</v>
      </c>
      <c r="F22" s="51">
        <v>5373.8</v>
      </c>
      <c r="G22" s="51">
        <v>4615.95</v>
      </c>
      <c r="H22" s="51">
        <v>5958.54</v>
      </c>
      <c r="I22" s="51">
        <v>5138.72</v>
      </c>
      <c r="J22" s="51">
        <v>5417.18</v>
      </c>
      <c r="K22" s="51">
        <v>5934</v>
      </c>
      <c r="L22" s="51">
        <v>6449.34</v>
      </c>
      <c r="M22" s="9">
        <f>12.81+168.79+275.24</f>
        <v>456.84000000000003</v>
      </c>
      <c r="N22" s="10">
        <f>13.29+198.28+295.28</f>
        <v>506.84999999999997</v>
      </c>
      <c r="O22" s="10">
        <f>12.68+178.87+302.71</f>
        <v>494.26</v>
      </c>
      <c r="P22" s="10">
        <f>15.74+210.4+282.61</f>
        <v>508.75</v>
      </c>
      <c r="Q22" s="10">
        <f>13.25+262.93+280.5</f>
        <v>556.6800000000001</v>
      </c>
      <c r="R22" s="10">
        <f>12.86+221.95+264.56</f>
        <v>499.37</v>
      </c>
      <c r="S22" s="10">
        <f>13.91+181.13+268.41</f>
        <v>463.45000000000005</v>
      </c>
      <c r="T22" s="10">
        <f>260.48+13.14+182.65</f>
        <v>456.27</v>
      </c>
      <c r="U22" s="10">
        <f>235.44+402.22</f>
        <v>637.6600000000001</v>
      </c>
      <c r="V22" s="10">
        <f>13.85+393.17+391.45</f>
        <v>798.47</v>
      </c>
      <c r="W22" s="10">
        <f>15.23+315.76+376.84</f>
        <v>707.8299999999999</v>
      </c>
      <c r="X22" s="19">
        <f>17.18+438.7+345.76</f>
        <v>801.64</v>
      </c>
      <c r="Y22" s="56">
        <f t="shared" si="4"/>
        <v>6888.070000000001</v>
      </c>
      <c r="Z22" s="32">
        <f t="shared" si="5"/>
        <v>57332.98</v>
      </c>
    </row>
    <row r="23" spans="1:26" ht="15.75" customHeight="1" thickBot="1">
      <c r="A23" s="44" t="s">
        <v>51</v>
      </c>
      <c r="B23" s="38" t="s">
        <v>7</v>
      </c>
      <c r="C23" s="51">
        <v>48934.91</v>
      </c>
      <c r="D23" s="67">
        <v>39931.2</v>
      </c>
      <c r="E23" s="51">
        <v>50354.57</v>
      </c>
      <c r="F23" s="51">
        <v>53092.6</v>
      </c>
      <c r="G23" s="51">
        <v>54410.08</v>
      </c>
      <c r="H23" s="51">
        <v>59244.67</v>
      </c>
      <c r="I23" s="51">
        <v>51656.46</v>
      </c>
      <c r="J23" s="51">
        <v>56612.05</v>
      </c>
      <c r="K23" s="51">
        <v>61055.88</v>
      </c>
      <c r="L23" s="51">
        <v>67336.49</v>
      </c>
      <c r="M23" s="9">
        <f>8587.62-2114.02</f>
        <v>6473.6</v>
      </c>
      <c r="N23" s="10">
        <f>12956.56-7057.22</f>
        <v>5899.339999999999</v>
      </c>
      <c r="O23" s="10">
        <f>12335.73-6318.61</f>
        <v>6017.12</v>
      </c>
      <c r="P23" s="10">
        <f>7227.2-1362.29</f>
        <v>5864.91</v>
      </c>
      <c r="Q23" s="10">
        <f>7308.84-1327.71</f>
        <v>5981.13</v>
      </c>
      <c r="R23" s="10">
        <f>7491.01-1489.34</f>
        <v>6001.67</v>
      </c>
      <c r="S23" s="10">
        <f>10503.14-3736.74</f>
        <v>6766.4</v>
      </c>
      <c r="T23" s="10">
        <f>8886.31-2162.95</f>
        <v>6723.36</v>
      </c>
      <c r="U23" s="10">
        <f>8896.55-1748.97-224.28</f>
        <v>6923.299999999999</v>
      </c>
      <c r="V23" s="10">
        <f>8827.61-1811.99</f>
        <v>7015.620000000001</v>
      </c>
      <c r="W23" s="10">
        <f>9138.67-1589.64</f>
        <v>7549.03</v>
      </c>
      <c r="X23" s="19">
        <f>9719.67-1948.8</f>
        <v>7770.87</v>
      </c>
      <c r="Y23" s="56">
        <f t="shared" si="4"/>
        <v>78986.35</v>
      </c>
      <c r="Z23" s="32">
        <f t="shared" si="5"/>
        <v>621615.2600000001</v>
      </c>
    </row>
    <row r="24" spans="1:26" ht="13.5" customHeight="1" thickBot="1">
      <c r="A24" s="44" t="s">
        <v>52</v>
      </c>
      <c r="B24" s="39" t="s">
        <v>3</v>
      </c>
      <c r="C24" s="52">
        <v>3378.52</v>
      </c>
      <c r="D24" s="68">
        <v>6478.49</v>
      </c>
      <c r="E24" s="52">
        <v>4373.54</v>
      </c>
      <c r="F24" s="52">
        <v>4989.92</v>
      </c>
      <c r="G24" s="52">
        <v>4129.47</v>
      </c>
      <c r="H24" s="52">
        <v>4135.56</v>
      </c>
      <c r="I24" s="52">
        <v>3884.57</v>
      </c>
      <c r="J24" s="52">
        <v>4443.22</v>
      </c>
      <c r="K24" s="52">
        <v>3961.1</v>
      </c>
      <c r="L24" s="52">
        <v>4016.92</v>
      </c>
      <c r="M24" s="11">
        <f>6.76+306.82</f>
        <v>313.58</v>
      </c>
      <c r="N24" s="12">
        <f>6.17+426.98</f>
        <v>433.15000000000003</v>
      </c>
      <c r="O24" s="12">
        <f>14.04+313.21</f>
        <v>327.25</v>
      </c>
      <c r="P24" s="12">
        <f>6.82+324.88</f>
        <v>331.7</v>
      </c>
      <c r="Q24" s="12">
        <f>6.17+295.48</f>
        <v>301.65000000000003</v>
      </c>
      <c r="R24" s="12">
        <v>339.9</v>
      </c>
      <c r="S24" s="12">
        <f>6.88+327.55</f>
        <v>334.43</v>
      </c>
      <c r="T24" s="12">
        <f>6.53+280.02</f>
        <v>286.54999999999995</v>
      </c>
      <c r="U24" s="12">
        <f>20.47+310.94</f>
        <v>331.40999999999997</v>
      </c>
      <c r="V24" s="12">
        <f>7.25+326.83</f>
        <v>334.08</v>
      </c>
      <c r="W24" s="12">
        <f>6.53+295.47</f>
        <v>302</v>
      </c>
      <c r="X24" s="21">
        <f>7.01+316.22</f>
        <v>323.23</v>
      </c>
      <c r="Y24" s="56">
        <f t="shared" si="4"/>
        <v>3958.93</v>
      </c>
      <c r="Z24" s="32">
        <f t="shared" si="5"/>
        <v>47750.24000000001</v>
      </c>
    </row>
    <row r="25" spans="1:26" ht="13.5" customHeight="1" thickBot="1">
      <c r="A25" s="44"/>
      <c r="B25" s="41" t="s">
        <v>55</v>
      </c>
      <c r="C25" s="59"/>
      <c r="D25" s="69"/>
      <c r="E25" s="59"/>
      <c r="F25" s="59"/>
      <c r="G25" s="70">
        <f>G7*5%</f>
        <v>5361.392</v>
      </c>
      <c r="H25" s="70">
        <f>H7*5%</f>
        <v>5352.192</v>
      </c>
      <c r="I25" s="74">
        <f>I7*5%</f>
        <v>5363.968000000001</v>
      </c>
      <c r="J25" s="74">
        <f>J7*5%</f>
        <v>5368.200000000001</v>
      </c>
      <c r="K25" s="74">
        <f>K7*5%</f>
        <v>5368.200000000001</v>
      </c>
      <c r="L25" s="74">
        <f>(L7+L8)*5%</f>
        <v>5127.780000000001</v>
      </c>
      <c r="M25" s="71">
        <f>(M7+M8)*5%</f>
        <v>427.39650000000006</v>
      </c>
      <c r="N25" s="70">
        <f aca="true" t="shared" si="6" ref="N25:X25">(N7+N8)*5%</f>
        <v>427.39650000000006</v>
      </c>
      <c r="O25" s="71">
        <f t="shared" si="6"/>
        <v>427.39650000000006</v>
      </c>
      <c r="P25" s="70">
        <f t="shared" si="6"/>
        <v>427.39650000000006</v>
      </c>
      <c r="Q25" s="71">
        <f t="shared" si="6"/>
        <v>427.39650000000006</v>
      </c>
      <c r="R25" s="70">
        <f t="shared" si="6"/>
        <v>427.39650000000006</v>
      </c>
      <c r="S25" s="71">
        <f t="shared" si="6"/>
        <v>427.922</v>
      </c>
      <c r="T25" s="70">
        <f t="shared" si="6"/>
        <v>427.922</v>
      </c>
      <c r="U25" s="71">
        <f t="shared" si="6"/>
        <v>427.922</v>
      </c>
      <c r="V25" s="70">
        <f t="shared" si="6"/>
        <v>427.922</v>
      </c>
      <c r="W25" s="71">
        <f t="shared" si="6"/>
        <v>427.922</v>
      </c>
      <c r="X25" s="70">
        <f t="shared" si="6"/>
        <v>427.922</v>
      </c>
      <c r="Y25" s="70">
        <f t="shared" si="4"/>
        <v>5131.911</v>
      </c>
      <c r="Z25" s="32"/>
    </row>
    <row r="26" spans="1:26" ht="17.25" customHeight="1" thickBot="1">
      <c r="A26" s="44" t="s">
        <v>38</v>
      </c>
      <c r="B26" s="41" t="s">
        <v>48</v>
      </c>
      <c r="C26" s="59"/>
      <c r="D26" s="69"/>
      <c r="E26" s="59"/>
      <c r="F26" s="59"/>
      <c r="G26" s="59"/>
      <c r="H26" s="59"/>
      <c r="I26" s="59"/>
      <c r="J26" s="70">
        <f>SUM(J7+J8-J10)-J25</f>
        <v>-9670.07999999999</v>
      </c>
      <c r="K26" s="70">
        <f>SUM(K7+K8-K10)-K25</f>
        <v>-19039.390000000018</v>
      </c>
      <c r="L26" s="70">
        <f>SUM(L7+L8-L10)-L25</f>
        <v>-45230.66</v>
      </c>
      <c r="M26" s="75">
        <f>SUM(M7+M8+M9-M10)-M25</f>
        <v>-67.08650000000057</v>
      </c>
      <c r="N26" s="75">
        <f aca="true" t="shared" si="7" ref="N26:X26">SUM(N7+N8+N9-N10)-N25</f>
        <v>-4436.026499999999</v>
      </c>
      <c r="O26" s="75">
        <f t="shared" si="7"/>
        <v>-3815.196499999999</v>
      </c>
      <c r="P26" s="75">
        <f t="shared" si="7"/>
        <v>1293.3335000000004</v>
      </c>
      <c r="Q26" s="75">
        <f t="shared" si="7"/>
        <v>1211.6935</v>
      </c>
      <c r="R26" s="75">
        <f t="shared" si="7"/>
        <v>1029.5235</v>
      </c>
      <c r="S26" s="75">
        <f t="shared" si="7"/>
        <v>-1972.621999999999</v>
      </c>
      <c r="T26" s="75">
        <f t="shared" si="7"/>
        <v>-355.791999999999</v>
      </c>
      <c r="U26" s="75">
        <f t="shared" si="7"/>
        <v>-366.0319999999988</v>
      </c>
      <c r="V26" s="75">
        <f t="shared" si="7"/>
        <v>-297.0920000000001</v>
      </c>
      <c r="W26" s="75">
        <f t="shared" si="7"/>
        <v>-608.1519999999996</v>
      </c>
      <c r="X26" s="75">
        <f t="shared" si="7"/>
        <v>-1189.1519999999996</v>
      </c>
      <c r="Y26" s="70">
        <f t="shared" si="4"/>
        <v>-9572.600999999997</v>
      </c>
      <c r="Z26" s="32"/>
    </row>
    <row r="27" spans="1:26" ht="25.5" customHeight="1" thickBot="1">
      <c r="A27" s="76" t="s">
        <v>39</v>
      </c>
      <c r="B27" s="83" t="s">
        <v>21</v>
      </c>
      <c r="C27" s="83">
        <v>-67431.87</v>
      </c>
      <c r="D27" s="79">
        <f>SUM(D7-D10)</f>
        <v>3988.8600000000006</v>
      </c>
      <c r="E27" s="78">
        <f>SUM(E7-E10)</f>
        <v>-8690.289999999979</v>
      </c>
      <c r="F27" s="78">
        <f>SUM(F7-F10)</f>
        <v>4050.320000000007</v>
      </c>
      <c r="G27" s="84">
        <f>SUM(G7-G10)-G25</f>
        <v>-6378.2019999999975</v>
      </c>
      <c r="H27" s="84">
        <f>SUM(H7-H10)-H25</f>
        <v>-6348.581999999985</v>
      </c>
      <c r="I27" s="84">
        <f>SUM(I7-I10)-I25</f>
        <v>5662.091999999982</v>
      </c>
      <c r="J27" s="84">
        <f>SUM(J7+J8-J10)-J25</f>
        <v>-9670.07999999999</v>
      </c>
      <c r="K27" s="84">
        <f>SUM(K7+K8-K10)-K25</f>
        <v>-19039.390000000018</v>
      </c>
      <c r="L27" s="84">
        <f>SUM(L7+L8-L10)-L25</f>
        <v>-45230.66</v>
      </c>
      <c r="M27" s="85">
        <f>SUM(M7+M8+M9-M10)-M25</f>
        <v>-67.08650000000057</v>
      </c>
      <c r="N27" s="84">
        <f>SUM(N26+M27)</f>
        <v>-4503.112999999999</v>
      </c>
      <c r="O27" s="85">
        <f aca="true" t="shared" si="8" ref="O27:X27">SUM(O26+N27)</f>
        <v>-8318.3095</v>
      </c>
      <c r="P27" s="84">
        <f t="shared" si="8"/>
        <v>-7024.975999999999</v>
      </c>
      <c r="Q27" s="85">
        <f t="shared" si="8"/>
        <v>-5813.282499999998</v>
      </c>
      <c r="R27" s="84">
        <f t="shared" si="8"/>
        <v>-4783.758999999998</v>
      </c>
      <c r="S27" s="85">
        <f t="shared" si="8"/>
        <v>-6756.380999999998</v>
      </c>
      <c r="T27" s="84">
        <f t="shared" si="8"/>
        <v>-7112.172999999997</v>
      </c>
      <c r="U27" s="85">
        <f t="shared" si="8"/>
        <v>-7478.204999999996</v>
      </c>
      <c r="V27" s="84">
        <f t="shared" si="8"/>
        <v>-7775.296999999997</v>
      </c>
      <c r="W27" s="85">
        <f t="shared" si="8"/>
        <v>-8383.448999999997</v>
      </c>
      <c r="X27" s="84">
        <f t="shared" si="8"/>
        <v>-9572.600999999997</v>
      </c>
      <c r="Y27" s="78"/>
      <c r="Z27" s="86"/>
    </row>
    <row r="28" spans="1:26" ht="22.5" customHeight="1" thickBot="1">
      <c r="A28" s="44" t="s">
        <v>40</v>
      </c>
      <c r="B28" s="40" t="s">
        <v>22</v>
      </c>
      <c r="C28" s="47">
        <v>-67431.87</v>
      </c>
      <c r="D28" s="20">
        <f>SUM(D7-D10,C28)</f>
        <v>-63443.009999999995</v>
      </c>
      <c r="E28" s="56">
        <f>SUM(E7-E10,D28)</f>
        <v>-72133.29999999997</v>
      </c>
      <c r="F28" s="56">
        <f>SUM(F7-F10,E28)</f>
        <v>-68082.97999999997</v>
      </c>
      <c r="G28" s="70">
        <f aca="true" t="shared" si="9" ref="G28:M28">SUM(G27+F28)</f>
        <v>-74461.18199999997</v>
      </c>
      <c r="H28" s="70">
        <f t="shared" si="9"/>
        <v>-80809.76399999995</v>
      </c>
      <c r="I28" s="70">
        <f t="shared" si="9"/>
        <v>-75147.67199999996</v>
      </c>
      <c r="J28" s="70">
        <f t="shared" si="9"/>
        <v>-84817.75199999995</v>
      </c>
      <c r="K28" s="70">
        <f t="shared" si="9"/>
        <v>-103857.14199999996</v>
      </c>
      <c r="L28" s="70">
        <f t="shared" si="9"/>
        <v>-149087.80199999997</v>
      </c>
      <c r="M28" s="70">
        <f t="shared" si="9"/>
        <v>-149154.88849999997</v>
      </c>
      <c r="N28" s="70">
        <f>SUM(N26+M28)</f>
        <v>-153590.91499999998</v>
      </c>
      <c r="O28" s="72">
        <f aca="true" t="shared" si="10" ref="O28:W28">SUM(O26+N28)</f>
        <v>-157406.11149999997</v>
      </c>
      <c r="P28" s="70">
        <f t="shared" si="10"/>
        <v>-156112.77799999996</v>
      </c>
      <c r="Q28" s="72">
        <f t="shared" si="10"/>
        <v>-154901.08449999997</v>
      </c>
      <c r="R28" s="70">
        <f t="shared" si="10"/>
        <v>-153871.56099999996</v>
      </c>
      <c r="S28" s="72">
        <f t="shared" si="10"/>
        <v>-155844.18299999996</v>
      </c>
      <c r="T28" s="70">
        <f t="shared" si="10"/>
        <v>-156199.97499999995</v>
      </c>
      <c r="U28" s="72">
        <f t="shared" si="10"/>
        <v>-156566.00699999995</v>
      </c>
      <c r="V28" s="70">
        <f t="shared" si="10"/>
        <v>-156863.09899999996</v>
      </c>
      <c r="W28" s="72">
        <f t="shared" si="10"/>
        <v>-157471.25099999996</v>
      </c>
      <c r="X28" s="70">
        <f>SUM(X26+W28)</f>
        <v>-158660.40299999996</v>
      </c>
      <c r="Y28" s="56"/>
      <c r="Z28" s="32"/>
    </row>
    <row r="29" spans="1:26" ht="10.5" customHeight="1" hidden="1" thickBot="1">
      <c r="A29" s="44" t="s">
        <v>40</v>
      </c>
      <c r="B29" s="47" t="s">
        <v>6</v>
      </c>
      <c r="C29" s="47"/>
      <c r="D29" s="47"/>
      <c r="E29" s="61"/>
      <c r="F29" s="61"/>
      <c r="G29" s="61"/>
      <c r="H29" s="61"/>
      <c r="I29" s="61"/>
      <c r="J29" s="61"/>
      <c r="K29" s="61"/>
      <c r="L29" s="61"/>
      <c r="M29" s="13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22"/>
      <c r="Y29" s="56"/>
      <c r="Z29" s="25"/>
    </row>
    <row r="30" spans="1:26" ht="15" customHeight="1" hidden="1" thickBot="1">
      <c r="A30" s="44" t="s">
        <v>41</v>
      </c>
      <c r="B30" s="41" t="s">
        <v>23</v>
      </c>
      <c r="C30" s="48"/>
      <c r="D30" s="48"/>
      <c r="E30" s="62"/>
      <c r="F30" s="62"/>
      <c r="G30" s="62"/>
      <c r="H30" s="62"/>
      <c r="I30" s="62"/>
      <c r="J30" s="62"/>
      <c r="K30" s="62"/>
      <c r="L30" s="62"/>
      <c r="M30" s="15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23"/>
      <c r="Y30" s="57"/>
      <c r="Z30" s="25"/>
    </row>
    <row r="31" spans="1:26" ht="24" customHeight="1" hidden="1" thickBot="1">
      <c r="A31" s="45" t="s">
        <v>42</v>
      </c>
      <c r="B31" s="42" t="s">
        <v>46</v>
      </c>
      <c r="C31" s="49"/>
      <c r="D31" s="49"/>
      <c r="E31" s="63"/>
      <c r="F31" s="63"/>
      <c r="G31" s="63"/>
      <c r="H31" s="63"/>
      <c r="I31" s="63"/>
      <c r="J31" s="63"/>
      <c r="K31" s="63"/>
      <c r="L31" s="63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30">
        <f>SUM(X27-X29)</f>
        <v>-9572.600999999997</v>
      </c>
      <c r="Y31" s="58"/>
      <c r="Z31" s="31"/>
    </row>
    <row r="32" spans="1:26" ht="24" customHeight="1" hidden="1" thickBot="1">
      <c r="A32" s="45" t="s">
        <v>45</v>
      </c>
      <c r="B32" s="42" t="s">
        <v>24</v>
      </c>
      <c r="C32" s="49"/>
      <c r="D32" s="49"/>
      <c r="E32" s="63"/>
      <c r="F32" s="63"/>
      <c r="G32" s="63"/>
      <c r="H32" s="63"/>
      <c r="I32" s="63"/>
      <c r="J32" s="63"/>
      <c r="K32" s="63"/>
      <c r="L32" s="63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30">
        <f>SUM(X28-X29)</f>
        <v>-158660.40299999996</v>
      </c>
      <c r="Y32" s="58"/>
      <c r="Z32" s="31"/>
    </row>
    <row r="33" spans="2:26" ht="1.5" customHeight="1" hidden="1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8"/>
    </row>
    <row r="34" ht="0.75" customHeight="1" hidden="1"/>
    <row r="35" ht="12.75" hidden="1"/>
    <row r="36" ht="12.75" hidden="1"/>
    <row r="37" ht="12.75">
      <c r="B37" t="s">
        <v>63</v>
      </c>
    </row>
    <row r="41" ht="12.75" customHeight="1"/>
    <row r="42" ht="12.75" customHeight="1"/>
  </sheetData>
  <sheetProtection/>
  <mergeCells count="5">
    <mergeCell ref="B4:Z4"/>
    <mergeCell ref="B5:Z5"/>
    <mergeCell ref="B3:Z3"/>
    <mergeCell ref="B1:O1"/>
    <mergeCell ref="B2:Y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2021-02-04T11:39:18Z</cp:lastPrinted>
  <dcterms:created xsi:type="dcterms:W3CDTF">2011-06-16T11:06:26Z</dcterms:created>
  <dcterms:modified xsi:type="dcterms:W3CDTF">2021-02-04T11:39:48Z</dcterms:modified>
  <cp:category/>
  <cp:version/>
  <cp:contentType/>
  <cp:contentStatus/>
</cp:coreProperties>
</file>