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<sst xmlns="http://schemas.openxmlformats.org/spreadsheetml/2006/main" count="81" uniqueCount="80">
  <si>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</si>
  <si>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</si>
  <si>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</si>
  <si>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</si>
  <si>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</si>
  <si>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</si>
  <si>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</si>
  <si>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</si>
  <si>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</si>
  <si>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</si>
  <si>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</si>
  <si>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</si>
  <si>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</si>
  <si>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</si>
  <si>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</si>
  <si>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</si>
  <si>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</si>
  <si>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</si>
  <si>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</si>
  <si>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</si>
  <si>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</si>
  <si>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</si>
  <si>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</si>
  <si>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</si>
  <si>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</si>
  <si>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</si>
  <si>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</si>
  <si>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</si>
  <si>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</si>
  <si>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</si>
  <si>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</si>
  <si>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</si>
  <si>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</si>
  <si>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</si>
  <si>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</si>
  <si>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</si>
  <si>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</si>
  <si>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</si>
  <si>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</si>
  <si>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</si>
  <si>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д.2</t>
  </si>
  <si>
    <t>10</t>
  </si>
  <si>
    <t>Финансовый результат по дому с начала года</t>
  </si>
  <si>
    <t>за 2009 г</t>
  </si>
  <si>
    <t>за 2010 г</t>
  </si>
  <si>
    <t>Итого за 2011 г</t>
  </si>
  <si>
    <t>Результат за месяц</t>
  </si>
  <si>
    <t>Благоустройство территории</t>
  </si>
  <si>
    <t>Итого за 2012 г</t>
  </si>
  <si>
    <t>4.12</t>
  </si>
  <si>
    <t>4.14</t>
  </si>
  <si>
    <t xml:space="preserve">Материалы </t>
  </si>
  <si>
    <t>4.15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</si>
  <si>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</si>
  <si>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</si>
  <si>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</si>
  <si>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</si>
  <si>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</si>
  <si>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</si>
  <si>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</si>
  <si>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</si>
  <si>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4.3</t>
  </si>
  <si>
    <t>Проверка вент.каналов</t>
  </si>
  <si>
    <t>4.4</t>
  </si>
  <si>
    <t>Проверка газового оборудов.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</si>
  <si>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</si>
  <si>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</si>
  <si>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</si>
  <si>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</si>
  <si>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</si>
  <si>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Горячая вода СОИД</t>
  </si>
  <si>
    <t>Итого за 2018 г</t>
  </si>
  <si>
    <t>Дератизация</t>
  </si>
  <si>
    <t>Итого за 2019 г</t>
  </si>
  <si>
    <t>Дом по ул.Комсомольской д.2 вступил в ООО "Наш дом" с октября 2009 года     тариф 10,35 руб. с января 2019 года тариф 9,6 руб.</t>
  </si>
  <si>
    <t>ООО "НД УНЕЧА"</t>
  </si>
  <si>
    <t>Итого за 2020 г</t>
  </si>
  <si>
    <t>Всего за 2009- 2020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</si>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</sst>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0" fillId="2" borderId="35" xfId="0" applyFont="1" applyFill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5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6" fillId="0" borderId="47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35" xfId="0" applyFont="1" applyBorder="1" applyAlignment="1">
      <alignment/>
    </xf>
    <xf numFmtId="0" fontId="22" fillId="0" borderId="0" xfId="0" applyFont="1" applyAlignment="1">
      <alignment/>
    </xf>
    <xf numFmtId="0" fontId="27" fillId="0" borderId="35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2" fontId="27" fillId="0" borderId="23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.125" style="29" customWidth="1"/>
    <col min="2" max="2" width="19.25390625" style="0" customWidth="1"/>
    <col min="3" max="3" width="6.875" style="0" hidden="1" customWidth="1"/>
    <col min="4" max="4" width="7.375" style="0" hidden="1" customWidth="1"/>
    <col min="5" max="5" width="8.00390625" style="0" hidden="1" customWidth="1"/>
    <col min="6" max="6" width="9.00390625" style="0" hidden="1" customWidth="1"/>
    <col min="7" max="7" width="8.75390625" style="0" hidden="1" customWidth="1"/>
    <col min="8" max="9" width="9.00390625" style="0" hidden="1" customWidth="1"/>
    <col min="10" max="10" width="10.125" style="0" hidden="1" customWidth="1"/>
    <col min="11" max="11" width="9.625" style="0" hidden="1" customWidth="1"/>
    <col min="12" max="13" width="9.00390625" style="0" hidden="1" customWidth="1"/>
    <col min="14" max="14" width="8.875" style="0" customWidth="1"/>
    <col min="15" max="15" width="8.375" style="0" customWidth="1"/>
    <col min="16" max="16" width="8.00390625" style="0" customWidth="1"/>
    <col min="17" max="17" width="8.125" style="0" customWidth="1"/>
    <col min="18" max="18" width="8.25390625" style="0" customWidth="1"/>
    <col min="19" max="19" width="8.625" style="0" customWidth="1"/>
    <col min="20" max="20" width="8.125" style="0" customWidth="1"/>
    <col min="21" max="21" width="8.00390625" style="0" customWidth="1"/>
    <col min="22" max="24" width="8.375" style="0" customWidth="1"/>
    <col min="25" max="25" width="8.125" style="0" customWidth="1"/>
    <col min="26" max="26" width="9.00390625" style="0" customWidth="1"/>
    <col min="27" max="27" width="9.75390625" style="0" hidden="1" customWidth="1"/>
  </cols>
  <sheetData>
    <row r="1" spans="2:32" ht="12.75" customHeight="1">
      <c r="B1" s="105" t="s">
        <v>75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  <c r="Z2" s="106"/>
      <c r="AA2" s="106"/>
      <c r="AB2" s="4"/>
      <c r="AC2" s="4"/>
      <c r="AD2" s="4"/>
      <c r="AE2" s="4"/>
      <c r="AF2" s="4"/>
    </row>
    <row r="3" spans="2:32" ht="12.75" customHeigh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3"/>
      <c r="AC3" s="3"/>
      <c r="AD3" s="3"/>
      <c r="AE3" s="3"/>
      <c r="AF3" s="3"/>
    </row>
    <row r="4" spans="2:32" ht="12.75" customHeight="1">
      <c r="B4" s="103" t="s">
        <v>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2"/>
      <c r="AC4" s="2"/>
      <c r="AD4" s="2"/>
      <c r="AE4" s="2"/>
      <c r="AF4" s="2"/>
    </row>
    <row r="5" spans="2:32" ht="16.5" customHeight="1" thickBot="1">
      <c r="B5" s="103" t="s">
        <v>40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2"/>
      <c r="AC5" s="2"/>
      <c r="AD5" s="2"/>
      <c r="AE5" s="2"/>
      <c r="AF5" s="2"/>
    </row>
    <row r="6" spans="1:32" ht="39" customHeight="1" thickBot="1">
      <c r="A6" s="38" t="s">
        <v>24</v>
      </c>
      <c r="B6" s="30" t="s">
        <v>4</v>
      </c>
      <c r="C6" s="42" t="s">
        <v>43</v>
      </c>
      <c r="D6" s="46" t="s">
        <v>44</v>
      </c>
      <c r="E6" s="71" t="s">
        <v>45</v>
      </c>
      <c r="F6" s="60" t="s">
        <v>48</v>
      </c>
      <c r="G6" s="60" t="s">
        <v>53</v>
      </c>
      <c r="H6" s="71" t="s">
        <v>54</v>
      </c>
      <c r="I6" s="60" t="s">
        <v>56</v>
      </c>
      <c r="J6" s="60" t="s">
        <v>66</v>
      </c>
      <c r="K6" s="60" t="s">
        <v>67</v>
      </c>
      <c r="L6" s="60" t="s">
        <v>71</v>
      </c>
      <c r="M6" s="60" t="s">
        <v>73</v>
      </c>
      <c r="N6" s="6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19</v>
      </c>
      <c r="Y6" s="17" t="s">
        <v>18</v>
      </c>
      <c r="Z6" s="60" t="s">
        <v>76</v>
      </c>
      <c r="AA6" s="55" t="s">
        <v>77</v>
      </c>
      <c r="AB6" s="1"/>
      <c r="AC6" s="1"/>
      <c r="AD6" s="1"/>
      <c r="AE6" s="1"/>
      <c r="AF6" s="1"/>
    </row>
    <row r="7" spans="1:27" ht="13.5" thickBot="1">
      <c r="A7" s="39" t="s">
        <v>25</v>
      </c>
      <c r="B7" s="31" t="s">
        <v>1</v>
      </c>
      <c r="C7" s="67">
        <v>26272.44</v>
      </c>
      <c r="D7" s="68">
        <v>105160.6</v>
      </c>
      <c r="E7" s="72">
        <v>112898.72</v>
      </c>
      <c r="F7" s="68">
        <v>134764.12</v>
      </c>
      <c r="G7" s="68">
        <v>141366.72</v>
      </c>
      <c r="H7" s="83">
        <v>141368.78</v>
      </c>
      <c r="I7" s="68">
        <v>141329.4</v>
      </c>
      <c r="J7" s="72">
        <v>141329.4</v>
      </c>
      <c r="K7" s="68">
        <v>118686.36</v>
      </c>
      <c r="L7" s="68">
        <v>118686.36</v>
      </c>
      <c r="M7" s="68">
        <v>110085.12</v>
      </c>
      <c r="N7" s="7">
        <v>9167.04</v>
      </c>
      <c r="O7" s="7">
        <v>9167.04</v>
      </c>
      <c r="P7" s="7">
        <v>9167.04</v>
      </c>
      <c r="Q7" s="7">
        <v>9167.04</v>
      </c>
      <c r="R7" s="7">
        <v>9167.04</v>
      </c>
      <c r="S7" s="7">
        <v>9167.04</v>
      </c>
      <c r="T7" s="7">
        <v>9167.04</v>
      </c>
      <c r="U7" s="7">
        <v>9167.04</v>
      </c>
      <c r="V7" s="7">
        <v>9167.04</v>
      </c>
      <c r="W7" s="7">
        <v>9167.04</v>
      </c>
      <c r="X7" s="7">
        <v>9167.04</v>
      </c>
      <c r="Y7" s="7">
        <v>9167.04</v>
      </c>
      <c r="Z7" s="61">
        <f>SUM(N7:Y7)</f>
        <v>110004.48000000004</v>
      </c>
      <c r="AA7" s="80">
        <f>SUM(C7:Y7)</f>
        <v>1401952.5000000005</v>
      </c>
    </row>
    <row r="8" spans="1:27" ht="13.5" thickBot="1">
      <c r="A8" s="39"/>
      <c r="B8" s="31" t="s">
        <v>68</v>
      </c>
      <c r="C8" s="67"/>
      <c r="D8" s="86"/>
      <c r="E8" s="72"/>
      <c r="F8" s="86"/>
      <c r="G8" s="86"/>
      <c r="H8" s="72"/>
      <c r="I8" s="86"/>
      <c r="J8" s="72">
        <v>0</v>
      </c>
      <c r="K8" s="86">
        <v>10847.92</v>
      </c>
      <c r="L8" s="86">
        <v>7779.77</v>
      </c>
      <c r="M8" s="86">
        <v>2795.1</v>
      </c>
      <c r="N8" s="7">
        <f aca="true" t="shared" si="0" ref="N8:S8">34.67+39.3+161.05</f>
        <v>235.02</v>
      </c>
      <c r="O8" s="7">
        <f t="shared" si="0"/>
        <v>235.02</v>
      </c>
      <c r="P8" s="7">
        <f t="shared" si="0"/>
        <v>235.02</v>
      </c>
      <c r="Q8" s="7">
        <f t="shared" si="0"/>
        <v>235.02</v>
      </c>
      <c r="R8" s="7">
        <f t="shared" si="0"/>
        <v>235.02</v>
      </c>
      <c r="S8" s="7">
        <f t="shared" si="0"/>
        <v>235.02</v>
      </c>
      <c r="T8" s="8">
        <f aca="true" t="shared" si="1" ref="T8:Y8">41.45+40.17+166.78</f>
        <v>248.4</v>
      </c>
      <c r="U8" s="8">
        <f t="shared" si="1"/>
        <v>248.4</v>
      </c>
      <c r="V8" s="8">
        <f t="shared" si="1"/>
        <v>248.4</v>
      </c>
      <c r="W8" s="8">
        <f t="shared" si="1"/>
        <v>248.4</v>
      </c>
      <c r="X8" s="8">
        <f t="shared" si="1"/>
        <v>248.4</v>
      </c>
      <c r="Y8" s="8">
        <f t="shared" si="1"/>
        <v>248.4</v>
      </c>
      <c r="Z8" s="61">
        <f>SUM(N8:Y8)</f>
        <v>2900.5200000000004</v>
      </c>
      <c r="AA8" s="80">
        <f>SUM(C8:Y8)</f>
        <v>24323.310000000012</v>
      </c>
    </row>
    <row r="9" spans="1:27" ht="11.25" customHeight="1" thickBot="1">
      <c r="A9" s="39"/>
      <c r="B9" s="31" t="s">
        <v>79</v>
      </c>
      <c r="C9" s="67"/>
      <c r="D9" s="86"/>
      <c r="E9" s="72"/>
      <c r="F9" s="86"/>
      <c r="G9" s="86"/>
      <c r="H9" s="72"/>
      <c r="I9" s="86"/>
      <c r="J9" s="72">
        <v>0</v>
      </c>
      <c r="K9" s="86">
        <v>27627.81</v>
      </c>
      <c r="L9" s="86">
        <v>27966</v>
      </c>
      <c r="M9" s="86">
        <v>26270.46</v>
      </c>
      <c r="N9" s="7">
        <f aca="true" t="shared" si="2" ref="N9:S9">2192.71+400</f>
        <v>2592.71</v>
      </c>
      <c r="O9" s="7">
        <f t="shared" si="2"/>
        <v>2592.71</v>
      </c>
      <c r="P9" s="7">
        <f t="shared" si="2"/>
        <v>2592.71</v>
      </c>
      <c r="Q9" s="7">
        <f t="shared" si="2"/>
        <v>2592.71</v>
      </c>
      <c r="R9" s="7">
        <f t="shared" si="2"/>
        <v>2592.71</v>
      </c>
      <c r="S9" s="7">
        <f t="shared" si="2"/>
        <v>2592.71</v>
      </c>
      <c r="T9" s="8">
        <f aca="true" t="shared" si="3" ref="T9:Y9">2198.91+400</f>
        <v>2598.91</v>
      </c>
      <c r="U9" s="8">
        <f t="shared" si="3"/>
        <v>2598.91</v>
      </c>
      <c r="V9" s="8">
        <f t="shared" si="3"/>
        <v>2598.91</v>
      </c>
      <c r="W9" s="8">
        <f t="shared" si="3"/>
        <v>2598.91</v>
      </c>
      <c r="X9" s="8">
        <f t="shared" si="3"/>
        <v>2598.91</v>
      </c>
      <c r="Y9" s="8">
        <f t="shared" si="3"/>
        <v>2598.91</v>
      </c>
      <c r="Z9" s="61">
        <f>SUM(N9:Y9)</f>
        <v>31149.719999999998</v>
      </c>
      <c r="AA9" s="80">
        <f>SUM(C9:Y9)</f>
        <v>113013.99000000005</v>
      </c>
    </row>
    <row r="10" spans="1:27" s="95" customFormat="1" ht="13.5" thickBot="1">
      <c r="A10" s="88" t="s">
        <v>26</v>
      </c>
      <c r="B10" s="89" t="s">
        <v>2</v>
      </c>
      <c r="C10" s="90">
        <f aca="true" t="shared" si="4" ref="C10:N10">SUM(C11:C24)</f>
        <v>16877.969999999998</v>
      </c>
      <c r="D10" s="91">
        <f t="shared" si="4"/>
        <v>130518.99</v>
      </c>
      <c r="E10" s="90">
        <f t="shared" si="4"/>
        <v>98324.77</v>
      </c>
      <c r="F10" s="91">
        <f t="shared" si="4"/>
        <v>105887.55000000002</v>
      </c>
      <c r="G10" s="91">
        <f t="shared" si="4"/>
        <v>111801.95000000001</v>
      </c>
      <c r="H10" s="92">
        <f>SUM(H11:H24)</f>
        <v>99829.67</v>
      </c>
      <c r="I10" s="91">
        <f>SUM(I11:I24)</f>
        <v>111725.45000000001</v>
      </c>
      <c r="J10" s="90">
        <f>SUM(J11:J24)</f>
        <v>102565.65</v>
      </c>
      <c r="K10" s="91">
        <f>SUM(K11:K24)</f>
        <v>125771.11</v>
      </c>
      <c r="L10" s="91">
        <f t="shared" si="4"/>
        <v>120892.33</v>
      </c>
      <c r="M10" s="91">
        <f t="shared" si="4"/>
        <v>118264.07999999999</v>
      </c>
      <c r="N10" s="93">
        <f t="shared" si="4"/>
        <v>7932.300000000001</v>
      </c>
      <c r="O10" s="93">
        <f aca="true" t="shared" si="5" ref="O10:Y10">SUM(O11:O24)</f>
        <v>7297.55</v>
      </c>
      <c r="P10" s="93">
        <f t="shared" si="5"/>
        <v>10802.1</v>
      </c>
      <c r="Q10" s="93">
        <f t="shared" si="5"/>
        <v>7143.64</v>
      </c>
      <c r="R10" s="93">
        <f t="shared" si="5"/>
        <v>8495.44</v>
      </c>
      <c r="S10" s="93">
        <f t="shared" si="5"/>
        <v>8488.13</v>
      </c>
      <c r="T10" s="93">
        <f t="shared" si="5"/>
        <v>11558.24</v>
      </c>
      <c r="U10" s="93">
        <f t="shared" si="5"/>
        <v>9264.04</v>
      </c>
      <c r="V10" s="93">
        <f t="shared" si="5"/>
        <v>12508.95</v>
      </c>
      <c r="W10" s="93">
        <f t="shared" si="5"/>
        <v>9249.96</v>
      </c>
      <c r="X10" s="93">
        <f t="shared" si="5"/>
        <v>9083.58</v>
      </c>
      <c r="Y10" s="90">
        <f t="shared" si="5"/>
        <v>9710.869999999999</v>
      </c>
      <c r="Z10" s="91">
        <f>SUM(N10:Y10)</f>
        <v>111534.8</v>
      </c>
      <c r="AA10" s="94">
        <f>SUM(C10:Y10)</f>
        <v>1253994.32</v>
      </c>
    </row>
    <row r="11" spans="1:27" ht="14.25" customHeight="1" thickBot="1">
      <c r="A11" s="39" t="s">
        <v>27</v>
      </c>
      <c r="B11" s="32" t="s">
        <v>78</v>
      </c>
      <c r="C11" s="49">
        <v>4098.11</v>
      </c>
      <c r="D11" s="50">
        <v>17306.82</v>
      </c>
      <c r="E11" s="73">
        <v>17863.93</v>
      </c>
      <c r="F11" s="50">
        <v>18354.11</v>
      </c>
      <c r="G11" s="50">
        <v>19318.09</v>
      </c>
      <c r="H11" s="73">
        <v>21709.08</v>
      </c>
      <c r="I11" s="50">
        <v>21064.29</v>
      </c>
      <c r="J11" s="73">
        <v>21279.12</v>
      </c>
      <c r="K11" s="50">
        <v>21800.46</v>
      </c>
      <c r="L11" s="50">
        <v>21701.06</v>
      </c>
      <c r="M11" s="50">
        <v>236.35</v>
      </c>
      <c r="N11" s="7"/>
      <c r="O11" s="8">
        <v>14.59</v>
      </c>
      <c r="P11" s="8">
        <v>16.96</v>
      </c>
      <c r="Q11" s="8">
        <v>19.02</v>
      </c>
      <c r="R11" s="8">
        <v>30.46</v>
      </c>
      <c r="S11" s="8">
        <v>22.41</v>
      </c>
      <c r="T11" s="8">
        <v>35.54</v>
      </c>
      <c r="U11" s="8">
        <v>36.79</v>
      </c>
      <c r="V11" s="8">
        <v>87.35</v>
      </c>
      <c r="W11" s="8">
        <v>38.5</v>
      </c>
      <c r="X11" s="8">
        <v>2.87</v>
      </c>
      <c r="Y11" s="18">
        <v>3.61</v>
      </c>
      <c r="Z11" s="62">
        <f aca="true" t="shared" si="6" ref="Z11:Z26">SUM(N11:Y11)</f>
        <v>308.1</v>
      </c>
      <c r="AA11" s="81">
        <f aca="true" t="shared" si="7" ref="AA11:AA24">SUM(C11:Y11)</f>
        <v>185039.51999999996</v>
      </c>
    </row>
    <row r="12" spans="1:27" ht="14.25" customHeight="1" thickBot="1">
      <c r="A12" s="39" t="s">
        <v>28</v>
      </c>
      <c r="B12" s="33" t="s">
        <v>57</v>
      </c>
      <c r="C12" s="51">
        <v>9591.97</v>
      </c>
      <c r="D12" s="52">
        <v>28631.97</v>
      </c>
      <c r="E12" s="74">
        <v>9602.55</v>
      </c>
      <c r="F12" s="52">
        <f>2999.14+630</f>
        <v>3629.14</v>
      </c>
      <c r="G12" s="52">
        <v>8114.59</v>
      </c>
      <c r="H12" s="74">
        <v>320</v>
      </c>
      <c r="I12" s="52">
        <v>3093.07</v>
      </c>
      <c r="J12" s="74">
        <v>3056.75</v>
      </c>
      <c r="K12" s="52">
        <v>1800</v>
      </c>
      <c r="L12" s="52">
        <v>6980</v>
      </c>
      <c r="M12" s="52">
        <v>3600</v>
      </c>
      <c r="N12" s="9"/>
      <c r="O12" s="10"/>
      <c r="P12" s="10"/>
      <c r="Q12" s="10"/>
      <c r="R12" s="10"/>
      <c r="S12" s="10"/>
      <c r="T12" s="10">
        <v>890</v>
      </c>
      <c r="U12" s="10">
        <v>750</v>
      </c>
      <c r="V12" s="10"/>
      <c r="W12" s="10"/>
      <c r="X12" s="10"/>
      <c r="Y12" s="19"/>
      <c r="Z12" s="62">
        <f t="shared" si="6"/>
        <v>1640</v>
      </c>
      <c r="AA12" s="82">
        <f>SUM(C12:Y12)</f>
        <v>80060.04000000001</v>
      </c>
    </row>
    <row r="13" spans="1:27" ht="15" customHeight="1" thickBot="1">
      <c r="A13" s="39" t="s">
        <v>61</v>
      </c>
      <c r="B13" s="33" t="s">
        <v>62</v>
      </c>
      <c r="C13" s="51"/>
      <c r="D13" s="52"/>
      <c r="E13" s="74"/>
      <c r="F13" s="52"/>
      <c r="G13" s="52"/>
      <c r="H13" s="74"/>
      <c r="I13" s="52">
        <v>500</v>
      </c>
      <c r="J13" s="74">
        <v>1600</v>
      </c>
      <c r="K13" s="52">
        <v>1400</v>
      </c>
      <c r="L13" s="52">
        <v>1000</v>
      </c>
      <c r="M13" s="52">
        <v>900</v>
      </c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9"/>
      <c r="Z13" s="62">
        <f>SUM(N13:Y13)</f>
        <v>0</v>
      </c>
      <c r="AA13" s="82">
        <f>SUM(C13:Y13)</f>
        <v>5400</v>
      </c>
    </row>
    <row r="14" spans="1:27" ht="22.5" customHeight="1" thickBot="1">
      <c r="A14" s="39" t="s">
        <v>63</v>
      </c>
      <c r="B14" s="33" t="s">
        <v>64</v>
      </c>
      <c r="C14" s="51"/>
      <c r="D14" s="52"/>
      <c r="E14" s="74"/>
      <c r="F14" s="52"/>
      <c r="G14" s="52"/>
      <c r="H14" s="74"/>
      <c r="I14" s="52">
        <v>4199.8</v>
      </c>
      <c r="J14" s="74">
        <v>0</v>
      </c>
      <c r="K14" s="52">
        <v>0</v>
      </c>
      <c r="L14" s="52">
        <v>3232.7</v>
      </c>
      <c r="M14" s="52">
        <v>3158.1</v>
      </c>
      <c r="N14" s="9"/>
      <c r="O14" s="10"/>
      <c r="P14" s="10">
        <v>3312.7</v>
      </c>
      <c r="Q14" s="10"/>
      <c r="R14" s="10"/>
      <c r="S14" s="10"/>
      <c r="T14" s="10"/>
      <c r="U14" s="10"/>
      <c r="V14" s="10"/>
      <c r="W14" s="10"/>
      <c r="X14" s="10"/>
      <c r="Y14" s="19"/>
      <c r="Z14" s="62">
        <f>SUM(N14:Y14)</f>
        <v>3312.7</v>
      </c>
      <c r="AA14" s="82">
        <f>SUM(C14:Y14)</f>
        <v>13903.3</v>
      </c>
    </row>
    <row r="15" spans="1:27" ht="15.75" customHeight="1" thickBot="1">
      <c r="A15" s="39" t="s">
        <v>29</v>
      </c>
      <c r="B15" s="33" t="s">
        <v>51</v>
      </c>
      <c r="C15" s="51">
        <v>111.49</v>
      </c>
      <c r="D15" s="52">
        <v>34667.19</v>
      </c>
      <c r="E15" s="74">
        <v>7214.87</v>
      </c>
      <c r="F15" s="52">
        <v>13414.36</v>
      </c>
      <c r="G15" s="52">
        <v>12305.63</v>
      </c>
      <c r="H15" s="74">
        <v>8195.05</v>
      </c>
      <c r="I15" s="52">
        <v>6383.74</v>
      </c>
      <c r="J15" s="74">
        <v>4270.65</v>
      </c>
      <c r="K15" s="52">
        <v>13840.15</v>
      </c>
      <c r="L15" s="52">
        <v>2424.24</v>
      </c>
      <c r="M15" s="52">
        <v>15495.42</v>
      </c>
      <c r="N15" s="9">
        <v>130</v>
      </c>
      <c r="O15" s="10">
        <v>148</v>
      </c>
      <c r="P15" s="10"/>
      <c r="Q15" s="10">
        <v>50</v>
      </c>
      <c r="R15" s="10">
        <f>797.7+350</f>
        <v>1147.7</v>
      </c>
      <c r="S15" s="10">
        <f>898.65+350</f>
        <v>1248.65</v>
      </c>
      <c r="T15" s="10">
        <f>1487.01+320</f>
        <v>1807.01</v>
      </c>
      <c r="U15" s="10">
        <v>420.59</v>
      </c>
      <c r="V15" s="10">
        <v>2794.6</v>
      </c>
      <c r="W15" s="10">
        <v>480</v>
      </c>
      <c r="X15" s="10"/>
      <c r="Y15" s="19"/>
      <c r="Z15" s="62">
        <f t="shared" si="6"/>
        <v>8226.550000000001</v>
      </c>
      <c r="AA15" s="81">
        <f t="shared" si="7"/>
        <v>126549.34</v>
      </c>
    </row>
    <row r="16" spans="1:27" ht="22.5" customHeight="1" thickBot="1">
      <c r="A16" s="39" t="s">
        <v>30</v>
      </c>
      <c r="B16" s="33" t="s">
        <v>47</v>
      </c>
      <c r="C16" s="51">
        <v>0</v>
      </c>
      <c r="D16" s="52">
        <v>0</v>
      </c>
      <c r="E16" s="74">
        <v>0</v>
      </c>
      <c r="F16" s="52">
        <v>256</v>
      </c>
      <c r="G16" s="52">
        <v>0</v>
      </c>
      <c r="H16" s="74">
        <v>663</v>
      </c>
      <c r="I16" s="52">
        <v>0</v>
      </c>
      <c r="J16" s="74">
        <v>186</v>
      </c>
      <c r="K16" s="52">
        <v>80.96</v>
      </c>
      <c r="L16" s="52">
        <v>628</v>
      </c>
      <c r="M16" s="52">
        <v>76.28</v>
      </c>
      <c r="N16" s="9">
        <v>80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9"/>
      <c r="Z16" s="62">
        <f t="shared" si="6"/>
        <v>80</v>
      </c>
      <c r="AA16" s="81">
        <f t="shared" si="7"/>
        <v>1970.24</v>
      </c>
    </row>
    <row r="17" spans="1:27" ht="15.75" customHeight="1" thickBot="1">
      <c r="A17" s="39" t="s">
        <v>31</v>
      </c>
      <c r="B17" s="33" t="s">
        <v>69</v>
      </c>
      <c r="C17" s="51">
        <v>1679.56</v>
      </c>
      <c r="D17" s="52">
        <v>6236.66</v>
      </c>
      <c r="E17" s="74">
        <v>6190.81</v>
      </c>
      <c r="F17" s="52">
        <v>4449.16</v>
      </c>
      <c r="G17" s="52">
        <v>0</v>
      </c>
      <c r="H17" s="74"/>
      <c r="I17" s="52">
        <v>0</v>
      </c>
      <c r="J17" s="74">
        <v>0</v>
      </c>
      <c r="K17" s="52">
        <v>8070.63</v>
      </c>
      <c r="L17" s="52">
        <v>5078.27</v>
      </c>
      <c r="M17" s="52">
        <v>0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9"/>
      <c r="Z17" s="62">
        <f t="shared" si="6"/>
        <v>0</v>
      </c>
      <c r="AA17" s="81">
        <f t="shared" si="7"/>
        <v>31705.09</v>
      </c>
    </row>
    <row r="18" spans="1:27" ht="15.75" customHeight="1" thickBot="1">
      <c r="A18" s="39"/>
      <c r="B18" s="33" t="s">
        <v>70</v>
      </c>
      <c r="C18" s="51"/>
      <c r="D18" s="52"/>
      <c r="E18" s="74"/>
      <c r="F18" s="52"/>
      <c r="G18" s="52"/>
      <c r="H18" s="74"/>
      <c r="I18" s="52"/>
      <c r="J18" s="74"/>
      <c r="K18" s="52">
        <v>2440.5</v>
      </c>
      <c r="L18" s="52">
        <v>2126.2</v>
      </c>
      <c r="M18" s="52">
        <v>2219.99</v>
      </c>
      <c r="N18" s="9">
        <v>195.65</v>
      </c>
      <c r="O18" s="9">
        <v>195.65</v>
      </c>
      <c r="P18" s="9">
        <v>195.65</v>
      </c>
      <c r="Q18" s="9">
        <v>195.65</v>
      </c>
      <c r="R18" s="9">
        <v>195.65</v>
      </c>
      <c r="S18" s="9">
        <v>195.65</v>
      </c>
      <c r="T18" s="10">
        <v>149.1</v>
      </c>
      <c r="U18" s="10">
        <v>201.88</v>
      </c>
      <c r="V18" s="10">
        <v>202.61</v>
      </c>
      <c r="W18" s="10">
        <v>202.61</v>
      </c>
      <c r="X18" s="10">
        <v>201.83</v>
      </c>
      <c r="Y18" s="10">
        <v>202.61</v>
      </c>
      <c r="Z18" s="62">
        <f>SUM(N18:Y18)</f>
        <v>2334.5400000000004</v>
      </c>
      <c r="AA18" s="81">
        <f>SUM(C18:Y18)</f>
        <v>9121.23</v>
      </c>
    </row>
    <row r="19" spans="1:27" ht="14.25" customHeight="1" thickBot="1">
      <c r="A19" s="39" t="s">
        <v>32</v>
      </c>
      <c r="B19" s="33" t="s">
        <v>72</v>
      </c>
      <c r="C19" s="51">
        <v>126.36</v>
      </c>
      <c r="D19" s="52">
        <v>851.33</v>
      </c>
      <c r="E19" s="74">
        <v>264.05</v>
      </c>
      <c r="F19" s="52">
        <v>172.46</v>
      </c>
      <c r="G19" s="52">
        <v>188.07</v>
      </c>
      <c r="H19" s="74">
        <v>178.65</v>
      </c>
      <c r="I19" s="52">
        <v>398.7</v>
      </c>
      <c r="J19" s="74">
        <v>330.59</v>
      </c>
      <c r="K19" s="52">
        <v>694.99</v>
      </c>
      <c r="L19" s="52">
        <v>500.2</v>
      </c>
      <c r="M19" s="52">
        <v>491.95</v>
      </c>
      <c r="N19" s="9"/>
      <c r="O19" s="10"/>
      <c r="P19" s="10">
        <v>178.13</v>
      </c>
      <c r="Q19" s="10"/>
      <c r="R19" s="10"/>
      <c r="S19" s="10"/>
      <c r="T19" s="10"/>
      <c r="U19" s="10"/>
      <c r="V19" s="10">
        <v>164.22</v>
      </c>
      <c r="W19" s="10"/>
      <c r="X19" s="10"/>
      <c r="Y19" s="19">
        <v>115.92</v>
      </c>
      <c r="Z19" s="62">
        <f t="shared" si="6"/>
        <v>458.27000000000004</v>
      </c>
      <c r="AA19" s="81">
        <f t="shared" si="7"/>
        <v>4655.62</v>
      </c>
    </row>
    <row r="20" spans="1:27" ht="34.5" customHeight="1" thickBot="1">
      <c r="A20" s="39" t="s">
        <v>33</v>
      </c>
      <c r="B20" s="33" t="s">
        <v>58</v>
      </c>
      <c r="C20" s="51">
        <v>0</v>
      </c>
      <c r="D20" s="52">
        <v>1296.9</v>
      </c>
      <c r="E20" s="74">
        <v>4634.37</v>
      </c>
      <c r="F20" s="52">
        <v>6954.3</v>
      </c>
      <c r="G20" s="52">
        <v>8877.23</v>
      </c>
      <c r="H20" s="74">
        <v>3895.24</v>
      </c>
      <c r="I20" s="52">
        <v>4592.61</v>
      </c>
      <c r="J20" s="74">
        <v>4856.55</v>
      </c>
      <c r="K20" s="52">
        <v>4934.06</v>
      </c>
      <c r="L20" s="52">
        <v>5185.04</v>
      </c>
      <c r="M20" s="52">
        <v>4197.35</v>
      </c>
      <c r="N20" s="9">
        <v>308.03</v>
      </c>
      <c r="O20" s="10">
        <v>276.13</v>
      </c>
      <c r="P20" s="10">
        <v>343.3</v>
      </c>
      <c r="Q20" s="10">
        <v>268.38</v>
      </c>
      <c r="R20" s="10">
        <v>277.69</v>
      </c>
      <c r="S20" s="10">
        <v>280.28</v>
      </c>
      <c r="T20" s="10">
        <v>324.17</v>
      </c>
      <c r="U20" s="10">
        <v>403.99</v>
      </c>
      <c r="V20" s="10">
        <v>387.66</v>
      </c>
      <c r="W20" s="10">
        <v>450.58</v>
      </c>
      <c r="X20" s="10">
        <v>419.05</v>
      </c>
      <c r="Y20" s="19">
        <v>382.53</v>
      </c>
      <c r="Z20" s="62">
        <f t="shared" si="6"/>
        <v>4121.79</v>
      </c>
      <c r="AA20" s="81">
        <f t="shared" si="7"/>
        <v>53545.44</v>
      </c>
    </row>
    <row r="21" spans="1:27" ht="24.75" customHeight="1" thickBot="1">
      <c r="A21" s="39" t="s">
        <v>34</v>
      </c>
      <c r="B21" s="33" t="s">
        <v>59</v>
      </c>
      <c r="C21" s="51">
        <v>494.38</v>
      </c>
      <c r="D21" s="52">
        <v>2261.48</v>
      </c>
      <c r="E21" s="74">
        <v>2797.21</v>
      </c>
      <c r="F21" s="52">
        <v>757.83</v>
      </c>
      <c r="G21" s="52">
        <v>538.76</v>
      </c>
      <c r="H21" s="74">
        <v>1171.77</v>
      </c>
      <c r="I21" s="52">
        <v>791.49</v>
      </c>
      <c r="J21" s="74">
        <v>690.89</v>
      </c>
      <c r="K21" s="52">
        <v>539.7</v>
      </c>
      <c r="L21" s="52">
        <v>523.05</v>
      </c>
      <c r="M21" s="52">
        <v>475.3</v>
      </c>
      <c r="N21" s="9">
        <v>17.69</v>
      </c>
      <c r="O21" s="10">
        <v>25.06</v>
      </c>
      <c r="P21" s="10">
        <v>24.01</v>
      </c>
      <c r="Q21" s="10">
        <v>23.99</v>
      </c>
      <c r="R21" s="10">
        <v>23.39</v>
      </c>
      <c r="S21" s="10">
        <v>20.44</v>
      </c>
      <c r="T21" s="10">
        <v>46.1</v>
      </c>
      <c r="U21" s="10">
        <v>23.92</v>
      </c>
      <c r="V21" s="10">
        <v>14.61</v>
      </c>
      <c r="W21" s="10">
        <v>44.13</v>
      </c>
      <c r="X21" s="10">
        <v>18.97</v>
      </c>
      <c r="Y21" s="19">
        <v>51.67</v>
      </c>
      <c r="Z21" s="62">
        <f t="shared" si="6"/>
        <v>333.9800000000001</v>
      </c>
      <c r="AA21" s="81">
        <f t="shared" si="7"/>
        <v>11375.839999999998</v>
      </c>
    </row>
    <row r="22" spans="1:27" ht="33.75" customHeight="1" thickBot="1">
      <c r="A22" s="39" t="s">
        <v>49</v>
      </c>
      <c r="B22" s="33" t="s">
        <v>60</v>
      </c>
      <c r="C22" s="51">
        <v>0</v>
      </c>
      <c r="D22" s="52">
        <v>1314.92</v>
      </c>
      <c r="E22" s="74">
        <v>4088.53</v>
      </c>
      <c r="F22" s="52">
        <v>3939.28</v>
      </c>
      <c r="G22" s="52">
        <v>5285.12</v>
      </c>
      <c r="H22" s="74">
        <v>4543.13</v>
      </c>
      <c r="I22" s="52">
        <v>5852.38</v>
      </c>
      <c r="J22" s="74">
        <v>5053.61</v>
      </c>
      <c r="K22" s="52">
        <v>5323.05</v>
      </c>
      <c r="L22" s="52">
        <v>5830.94</v>
      </c>
      <c r="M22" s="52">
        <v>6340.16</v>
      </c>
      <c r="N22" s="9">
        <f>12.58+165.73+270.26</f>
        <v>448.57</v>
      </c>
      <c r="O22" s="10">
        <f>13.05+194.69+289.94</f>
        <v>497.68</v>
      </c>
      <c r="P22" s="10">
        <f>12.45+175.63+297.23</f>
        <v>485.31</v>
      </c>
      <c r="Q22" s="10">
        <f>15.46+206.59+277.49</f>
        <v>499.54</v>
      </c>
      <c r="R22" s="10">
        <f>13.01+258.17+275.43</f>
        <v>546.61</v>
      </c>
      <c r="S22" s="10">
        <f>12.63+217.93+259.77</f>
        <v>490.33</v>
      </c>
      <c r="T22" s="10">
        <f>13.65+177.86+263.55</f>
        <v>455.06000000000006</v>
      </c>
      <c r="U22" s="10">
        <f>255.76+12.91+179.34</f>
        <v>448.01</v>
      </c>
      <c r="V22" s="10">
        <f>231.18+394.94</f>
        <v>626.12</v>
      </c>
      <c r="W22" s="10">
        <f>13.6+386.05+384.36</f>
        <v>784.01</v>
      </c>
      <c r="X22" s="10">
        <f>14.95+310.04+370.02</f>
        <v>695.01</v>
      </c>
      <c r="Y22" s="19">
        <f>16.87+430.76+339.5</f>
        <v>787.13</v>
      </c>
      <c r="Z22" s="62">
        <f t="shared" si="6"/>
        <v>6763.38</v>
      </c>
      <c r="AA22" s="81">
        <f t="shared" si="7"/>
        <v>54334.500000000015</v>
      </c>
    </row>
    <row r="23" spans="1:27" ht="15.75" customHeight="1" thickBot="1">
      <c r="A23" s="39" t="s">
        <v>50</v>
      </c>
      <c r="B23" s="33" t="s">
        <v>6</v>
      </c>
      <c r="C23" s="51">
        <v>479.36</v>
      </c>
      <c r="D23" s="52">
        <v>34041.48</v>
      </c>
      <c r="E23" s="74">
        <v>39177.79</v>
      </c>
      <c r="F23" s="52">
        <v>49481.81</v>
      </c>
      <c r="G23" s="52">
        <v>52216.39</v>
      </c>
      <c r="H23" s="74">
        <v>53453.46</v>
      </c>
      <c r="I23" s="52">
        <v>60008.3</v>
      </c>
      <c r="J23" s="74">
        <v>56683.58</v>
      </c>
      <c r="K23" s="52">
        <v>59913.9</v>
      </c>
      <c r="L23" s="52">
        <v>60749.23</v>
      </c>
      <c r="M23" s="52">
        <v>76678.4</v>
      </c>
      <c r="N23" s="9">
        <f>7932.3-1575.86</f>
        <v>6356.4400000000005</v>
      </c>
      <c r="O23" s="10">
        <f>7297.55-1504.99</f>
        <v>5792.56</v>
      </c>
      <c r="P23" s="10">
        <f>10802.1-4715.74-178.13</f>
        <v>5908.2300000000005</v>
      </c>
      <c r="Q23" s="10">
        <f>7143.64-1383.89</f>
        <v>5759.75</v>
      </c>
      <c r="R23" s="10">
        <f>8495.44-2622.56</f>
        <v>5872.880000000001</v>
      </c>
      <c r="S23" s="10">
        <f>8488.13-2595.08</f>
        <v>5893.049999999999</v>
      </c>
      <c r="T23" s="10">
        <f>11558.24-4044.3</f>
        <v>7513.94</v>
      </c>
      <c r="U23" s="10">
        <f>9264.04-2651.26</f>
        <v>6612.780000000001</v>
      </c>
      <c r="V23" s="10">
        <f>12508.95-4492.46-164.22</f>
        <v>7852.27</v>
      </c>
      <c r="W23" s="10">
        <f>9249.96-2361.3</f>
        <v>6888.659999999999</v>
      </c>
      <c r="X23" s="10">
        <f>9083.58-1671.18</f>
        <v>7412.4</v>
      </c>
      <c r="Y23" s="19">
        <f>9710.87-2080.43</f>
        <v>7630.4400000000005</v>
      </c>
      <c r="Z23" s="62">
        <f t="shared" si="6"/>
        <v>79493.40000000001</v>
      </c>
      <c r="AA23" s="81">
        <f t="shared" si="7"/>
        <v>622377.1000000001</v>
      </c>
    </row>
    <row r="24" spans="1:27" ht="13.5" customHeight="1" thickBot="1">
      <c r="A24" s="39" t="s">
        <v>52</v>
      </c>
      <c r="B24" s="34" t="s">
        <v>3</v>
      </c>
      <c r="C24" s="53">
        <v>296.74</v>
      </c>
      <c r="D24" s="54">
        <v>3910.24</v>
      </c>
      <c r="E24" s="75">
        <v>6490.66</v>
      </c>
      <c r="F24" s="54">
        <v>4479.1</v>
      </c>
      <c r="G24" s="54">
        <v>4958.07</v>
      </c>
      <c r="H24" s="75">
        <v>5700.29</v>
      </c>
      <c r="I24" s="54">
        <v>4841.07</v>
      </c>
      <c r="J24" s="75">
        <v>4557.91</v>
      </c>
      <c r="K24" s="54">
        <v>4932.71</v>
      </c>
      <c r="L24" s="54">
        <v>4933.4</v>
      </c>
      <c r="M24" s="54">
        <v>4394.78</v>
      </c>
      <c r="N24" s="11">
        <f>11.2+9.72+375</f>
        <v>395.92</v>
      </c>
      <c r="O24" s="12">
        <f>12.6+8.54+326.74</f>
        <v>347.88</v>
      </c>
      <c r="P24" s="12">
        <f>11.3+8.27+318.24</f>
        <v>337.81</v>
      </c>
      <c r="Q24" s="12">
        <f>8.19+319.12</f>
        <v>327.31</v>
      </c>
      <c r="R24" s="12">
        <f>11.3+9.85+379.91</f>
        <v>401.06</v>
      </c>
      <c r="S24" s="12">
        <f>11.3+8.26+317.76</f>
        <v>337.32</v>
      </c>
      <c r="T24" s="12">
        <f>11.3+8.26+317.76</f>
        <v>337.32</v>
      </c>
      <c r="U24" s="12">
        <f>9.69+356.39</f>
        <v>366.08</v>
      </c>
      <c r="V24" s="12">
        <f>18.89+360.62</f>
        <v>379.51</v>
      </c>
      <c r="W24" s="12">
        <f>10.9+9.35+341.22</f>
        <v>361.47</v>
      </c>
      <c r="X24" s="12">
        <f>8.8+324.65</f>
        <v>333.45</v>
      </c>
      <c r="Y24" s="21">
        <f>158+12+366.96</f>
        <v>536.96</v>
      </c>
      <c r="Z24" s="62">
        <f t="shared" si="6"/>
        <v>4462.09</v>
      </c>
      <c r="AA24" s="81">
        <f t="shared" si="7"/>
        <v>53957.05999999999</v>
      </c>
    </row>
    <row r="25" spans="1:27" ht="14.25" customHeight="1" thickBot="1">
      <c r="A25" s="39"/>
      <c r="B25" s="36" t="s">
        <v>55</v>
      </c>
      <c r="C25" s="65"/>
      <c r="D25" s="66"/>
      <c r="E25" s="76"/>
      <c r="F25" s="66"/>
      <c r="G25" s="66"/>
      <c r="H25" s="84">
        <f>H7*5%</f>
        <v>7068.439</v>
      </c>
      <c r="I25" s="78">
        <f>I7*5%</f>
        <v>7066.47</v>
      </c>
      <c r="J25" s="84">
        <f>J7*5%</f>
        <v>7066.47</v>
      </c>
      <c r="K25" s="87">
        <f>K7*5%</f>
        <v>5934.318</v>
      </c>
      <c r="L25" s="87">
        <f>SUM(L7+L8+L9)*5%</f>
        <v>7721.606500000001</v>
      </c>
      <c r="M25" s="87">
        <f>SUM(M7+M8+M9)*5%</f>
        <v>6957.534</v>
      </c>
      <c r="N25" s="77">
        <f>SUM(N7+N8+N9)*5%</f>
        <v>599.7385</v>
      </c>
      <c r="O25" s="77">
        <f aca="true" t="shared" si="8" ref="O25:Y25">SUM(O7+O8+O9)*5%</f>
        <v>599.7385</v>
      </c>
      <c r="P25" s="77">
        <f t="shared" si="8"/>
        <v>599.7385</v>
      </c>
      <c r="Q25" s="77">
        <f t="shared" si="8"/>
        <v>599.7385</v>
      </c>
      <c r="R25" s="77">
        <f t="shared" si="8"/>
        <v>599.7385</v>
      </c>
      <c r="S25" s="77">
        <f t="shared" si="8"/>
        <v>599.7385</v>
      </c>
      <c r="T25" s="77">
        <f t="shared" si="8"/>
        <v>600.7175000000001</v>
      </c>
      <c r="U25" s="77">
        <f t="shared" si="8"/>
        <v>600.7175000000001</v>
      </c>
      <c r="V25" s="77">
        <f t="shared" si="8"/>
        <v>600.7175000000001</v>
      </c>
      <c r="W25" s="77">
        <f t="shared" si="8"/>
        <v>600.7175000000001</v>
      </c>
      <c r="X25" s="77">
        <f t="shared" si="8"/>
        <v>600.7175000000001</v>
      </c>
      <c r="Y25" s="77">
        <f t="shared" si="8"/>
        <v>600.7175000000001</v>
      </c>
      <c r="Z25" s="78">
        <f t="shared" si="6"/>
        <v>7202.735999999999</v>
      </c>
      <c r="AA25" s="56"/>
    </row>
    <row r="26" spans="1:27" ht="13.5" customHeight="1" thickBot="1">
      <c r="A26" s="39" t="s">
        <v>35</v>
      </c>
      <c r="B26" s="36" t="s">
        <v>46</v>
      </c>
      <c r="C26" s="65"/>
      <c r="D26" s="66"/>
      <c r="E26" s="76"/>
      <c r="F26" s="66"/>
      <c r="G26" s="66"/>
      <c r="H26" s="76"/>
      <c r="I26" s="66"/>
      <c r="J26" s="76"/>
      <c r="K26" s="78">
        <f aca="true" t="shared" si="9" ref="K26:Y26">SUM(K7+K8+K9-K10)-K25</f>
        <v>25456.661999999997</v>
      </c>
      <c r="L26" s="78">
        <f>SUM(L7+L8+L9-L10)-L25</f>
        <v>25818.1935</v>
      </c>
      <c r="M26" s="78">
        <f>SUM(M7+M8+M9-M10)-M25</f>
        <v>13929.066000000006</v>
      </c>
      <c r="N26" s="79">
        <f t="shared" si="9"/>
        <v>3462.7314999999994</v>
      </c>
      <c r="O26" s="79">
        <f t="shared" si="9"/>
        <v>4097.4815</v>
      </c>
      <c r="P26" s="79">
        <f t="shared" si="9"/>
        <v>592.9315</v>
      </c>
      <c r="Q26" s="79">
        <f t="shared" si="9"/>
        <v>4251.3915</v>
      </c>
      <c r="R26" s="79">
        <f t="shared" si="9"/>
        <v>2899.5915</v>
      </c>
      <c r="S26" s="79">
        <f t="shared" si="9"/>
        <v>2906.9015000000013</v>
      </c>
      <c r="T26" s="79">
        <f t="shared" si="9"/>
        <v>-144.6074999999995</v>
      </c>
      <c r="U26" s="79">
        <f t="shared" si="9"/>
        <v>2149.5924999999993</v>
      </c>
      <c r="V26" s="79">
        <f t="shared" si="9"/>
        <v>-1095.3175000000006</v>
      </c>
      <c r="W26" s="79">
        <f t="shared" si="9"/>
        <v>2163.672500000001</v>
      </c>
      <c r="X26" s="79">
        <f t="shared" si="9"/>
        <v>2330.0525000000002</v>
      </c>
      <c r="Y26" s="79">
        <f t="shared" si="9"/>
        <v>1702.7625000000012</v>
      </c>
      <c r="Z26" s="78">
        <f t="shared" si="6"/>
        <v>25317.184000000005</v>
      </c>
      <c r="AA26" s="56"/>
    </row>
    <row r="27" spans="1:27" ht="21.75" customHeight="1" thickBot="1">
      <c r="A27" s="88" t="s">
        <v>36</v>
      </c>
      <c r="B27" s="96" t="s">
        <v>20</v>
      </c>
      <c r="C27" s="97">
        <v>9394.47</v>
      </c>
      <c r="D27" s="96">
        <v>-25358.38</v>
      </c>
      <c r="E27" s="90">
        <f>SUM(E7-E10)</f>
        <v>14573.949999999997</v>
      </c>
      <c r="F27" s="91">
        <f>SUM(F7-F10)</f>
        <v>28876.569999999978</v>
      </c>
      <c r="G27" s="91">
        <f>SUM(G7-G10)</f>
        <v>29564.76999999999</v>
      </c>
      <c r="H27" s="98">
        <f>SUM(H7-H10)-H25</f>
        <v>34470.671</v>
      </c>
      <c r="I27" s="99">
        <f>SUM(I7-I10)-I25</f>
        <v>22537.47999999998</v>
      </c>
      <c r="J27" s="98">
        <f>SUM(J7-J10)-J25</f>
        <v>31697.28</v>
      </c>
      <c r="K27" s="99">
        <f>SUM(K7+K8+K9-K10)-K25</f>
        <v>25456.661999999997</v>
      </c>
      <c r="L27" s="99">
        <f>SUM(L7+L8+L9-L10)-L25</f>
        <v>25818.1935</v>
      </c>
      <c r="M27" s="99">
        <f>SUM(M7+M8+M9-M10)-M25</f>
        <v>13929.066000000006</v>
      </c>
      <c r="N27" s="100">
        <f>SUM(N7+N8+N9-N10)-N25</f>
        <v>3462.7314999999994</v>
      </c>
      <c r="O27" s="101">
        <f>SUM(O26+N27)</f>
        <v>7560.213</v>
      </c>
      <c r="P27" s="101">
        <f aca="true" t="shared" si="10" ref="P27:Y27">SUM(P26+O27)</f>
        <v>8153.144499999999</v>
      </c>
      <c r="Q27" s="101">
        <f t="shared" si="10"/>
        <v>12404.536</v>
      </c>
      <c r="R27" s="101">
        <f t="shared" si="10"/>
        <v>15304.1275</v>
      </c>
      <c r="S27" s="101">
        <f t="shared" si="10"/>
        <v>18211.029000000002</v>
      </c>
      <c r="T27" s="101">
        <f t="shared" si="10"/>
        <v>18066.421500000004</v>
      </c>
      <c r="U27" s="101">
        <f t="shared" si="10"/>
        <v>20216.014000000003</v>
      </c>
      <c r="V27" s="101">
        <f t="shared" si="10"/>
        <v>19120.696500000002</v>
      </c>
      <c r="W27" s="101">
        <f t="shared" si="10"/>
        <v>21284.369000000002</v>
      </c>
      <c r="X27" s="101">
        <f t="shared" si="10"/>
        <v>23614.421500000004</v>
      </c>
      <c r="Y27" s="101">
        <f t="shared" si="10"/>
        <v>25317.184000000005</v>
      </c>
      <c r="Z27" s="91"/>
      <c r="AA27" s="102"/>
    </row>
    <row r="28" spans="1:27" ht="21.75" customHeight="1" hidden="1" thickBot="1">
      <c r="A28" s="39" t="s">
        <v>37</v>
      </c>
      <c r="B28" s="35" t="s">
        <v>21</v>
      </c>
      <c r="C28" s="69">
        <v>9394.47</v>
      </c>
      <c r="D28" s="41">
        <v>-15509.43</v>
      </c>
      <c r="E28" s="20">
        <f>SUM(E7-E10,D28)</f>
        <v>-935.4800000000032</v>
      </c>
      <c r="F28" s="62">
        <f>SUM(F7-F10,E28)</f>
        <v>27941.089999999975</v>
      </c>
      <c r="G28" s="62">
        <f>SUM(G7-G10,F28)</f>
        <v>57505.859999999964</v>
      </c>
      <c r="H28" s="85">
        <f>SUM(H27+G28)</f>
        <v>91976.53099999996</v>
      </c>
      <c r="I28" s="78">
        <f>SUM(I27+H28)</f>
        <v>114514.01099999994</v>
      </c>
      <c r="J28" s="78">
        <f>SUM(J27+I28)</f>
        <v>146211.29099999994</v>
      </c>
      <c r="K28" s="78">
        <f>SUM(K27+J28)</f>
        <v>171667.95299999992</v>
      </c>
      <c r="L28" s="78">
        <f>SUM(L27+K28)</f>
        <v>197486.14649999992</v>
      </c>
      <c r="M28" s="78">
        <f>SUM(M27+L28)-108134.73</f>
        <v>103280.48249999991</v>
      </c>
      <c r="N28" s="78">
        <f>SUM(N27+M28)</f>
        <v>106743.2139999999</v>
      </c>
      <c r="O28" s="79">
        <f>SUM(O26+N28)</f>
        <v>110840.6954999999</v>
      </c>
      <c r="P28" s="79">
        <f>SUM(P26+O28)</f>
        <v>111433.6269999999</v>
      </c>
      <c r="Q28" s="79">
        <f aca="true" t="shared" si="11" ref="Q28:X28">SUM(Q26+P28)</f>
        <v>115685.0184999999</v>
      </c>
      <c r="R28" s="79">
        <f t="shared" si="11"/>
        <v>118584.6099999999</v>
      </c>
      <c r="S28" s="79">
        <f t="shared" si="11"/>
        <v>121491.5114999999</v>
      </c>
      <c r="T28" s="79">
        <f t="shared" si="11"/>
        <v>121346.90399999991</v>
      </c>
      <c r="U28" s="79">
        <f>SUM(U26+T28)</f>
        <v>123496.4964999999</v>
      </c>
      <c r="V28" s="79">
        <f t="shared" si="11"/>
        <v>122401.1789999999</v>
      </c>
      <c r="W28" s="79">
        <f t="shared" si="11"/>
        <v>124564.8514999999</v>
      </c>
      <c r="X28" s="79">
        <f t="shared" si="11"/>
        <v>126894.90399999991</v>
      </c>
      <c r="Y28" s="79">
        <f>SUM(Y26+X28)</f>
        <v>128597.6664999999</v>
      </c>
      <c r="Z28" s="62"/>
      <c r="AA28" s="56"/>
    </row>
    <row r="29" spans="1:27" ht="9.75" customHeight="1" hidden="1" thickBot="1">
      <c r="A29" s="39" t="s">
        <v>37</v>
      </c>
      <c r="B29" s="41" t="s">
        <v>5</v>
      </c>
      <c r="C29" s="43"/>
      <c r="D29" s="41"/>
      <c r="E29" s="41"/>
      <c r="F29" s="43"/>
      <c r="G29" s="43"/>
      <c r="H29" s="43"/>
      <c r="I29" s="43"/>
      <c r="J29" s="43"/>
      <c r="K29" s="43"/>
      <c r="L29" s="43"/>
      <c r="M29" s="43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2"/>
      <c r="Z29" s="62"/>
      <c r="AA29" s="58"/>
    </row>
    <row r="30" spans="1:27" ht="15" customHeight="1" hidden="1" thickBot="1">
      <c r="A30" s="39" t="s">
        <v>38</v>
      </c>
      <c r="B30" s="36" t="s">
        <v>22</v>
      </c>
      <c r="C30" s="44"/>
      <c r="D30" s="47"/>
      <c r="E30" s="47"/>
      <c r="F30" s="44"/>
      <c r="G30" s="44"/>
      <c r="H30" s="44"/>
      <c r="I30" s="44"/>
      <c r="J30" s="44"/>
      <c r="K30" s="44"/>
      <c r="L30" s="44"/>
      <c r="M30" s="44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63"/>
      <c r="AA30" s="57"/>
    </row>
    <row r="31" spans="1:27" ht="24" customHeight="1" hidden="1" thickBot="1">
      <c r="A31" s="40" t="s">
        <v>39</v>
      </c>
      <c r="B31" s="37" t="s">
        <v>42</v>
      </c>
      <c r="C31" s="45"/>
      <c r="D31" s="48"/>
      <c r="E31" s="48"/>
      <c r="F31" s="45"/>
      <c r="G31" s="45"/>
      <c r="H31" s="45"/>
      <c r="I31" s="45"/>
      <c r="J31" s="45"/>
      <c r="K31" s="45"/>
      <c r="L31" s="45"/>
      <c r="M31" s="45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f>SUM(Y27-Y29)</f>
        <v>25317.184000000005</v>
      </c>
      <c r="Z31" s="70"/>
      <c r="AA31" s="59"/>
    </row>
    <row r="32" spans="1:27" ht="24" customHeight="1" hidden="1" thickBot="1">
      <c r="A32" s="40" t="s">
        <v>41</v>
      </c>
      <c r="B32" s="37" t="s">
        <v>23</v>
      </c>
      <c r="C32" s="45"/>
      <c r="D32" s="48"/>
      <c r="E32" s="45"/>
      <c r="F32" s="45"/>
      <c r="G32" s="45"/>
      <c r="H32" s="45"/>
      <c r="I32" s="45"/>
      <c r="J32" s="45"/>
      <c r="K32" s="45"/>
      <c r="L32" s="45"/>
      <c r="M32" s="4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f>SUM(Y28-Y29)</f>
        <v>128597.6664999999</v>
      </c>
      <c r="Z32" s="64"/>
      <c r="AA32" s="59"/>
    </row>
    <row r="33" spans="2:27" ht="6.75" customHeight="1" hidden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</row>
    <row r="34" ht="11.25" customHeight="1">
      <c r="B34" t="s">
        <v>65</v>
      </c>
    </row>
    <row r="35" ht="3.75" customHeight="1" hidden="1"/>
    <row r="36" ht="12.75" hidden="1"/>
    <row r="37" ht="12.75" hidden="1"/>
    <row r="42" ht="12.75" customHeight="1"/>
    <row r="43" ht="12.75" customHeight="1"/>
  </sheetData>
  <sheetProtection/>
  <mergeCells count="5">
    <mergeCell ref="B4:AA4"/>
    <mergeCell ref="B5:AA5"/>
    <mergeCell ref="B3:AA3"/>
    <mergeCell ref="B1:P1"/>
    <mergeCell ref="B2:AA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2021-02-04T11:37:44Z</cp:lastPrinted>
  <dcterms:created xsi:type="dcterms:W3CDTF">2011-06-16T11:06:26Z</dcterms:created>
  <dcterms:modified xsi:type="dcterms:W3CDTF">2021-03-01T11:33:22Z</dcterms:modified>
  <cp:category/>
  <cp:version/>
  <cp:contentType/>
  <cp:contentStatus/>
</cp:coreProperties>
</file>