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<sst xmlns="http://schemas.openxmlformats.org/spreadsheetml/2006/main" count="80" uniqueCount="80">
  <si>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СПРАВКА</t>
  </si>
  <si>
    <t xml:space="preserve">Начислено  </t>
  </si>
  <si>
    <t>Расходы</t>
  </si>
  <si>
    <t>Услуги РИРЦ</t>
  </si>
  <si>
    <t>Наименование</t>
  </si>
  <si>
    <t>Задолженность по неплательщикам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</si>
  <si>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</si>
  <si>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</si>
  <si>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</si>
  <si>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</si>
  <si>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</si>
  <si>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</si>
  <si>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</si>
  <si>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</si>
  <si>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</si>
  <si>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</si>
  <si>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</si>
  <si>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</si>
  <si>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</si>
  <si>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</si>
  <si>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</si>
  <si>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</si>
  <si>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</si>
  <si>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</si>
  <si>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</si>
  <si>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</si>
  <si>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</si>
  <si>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</si>
  <si>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</si>
  <si>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4.4</t>
  </si>
  <si>
    <t>4.5</t>
  </si>
  <si>
    <t>4.6</t>
  </si>
  <si>
    <t>4.7</t>
  </si>
  <si>
    <t>4.8</t>
  </si>
  <si>
    <t>4.9</t>
  </si>
  <si>
    <t>4.10</t>
  </si>
  <si>
    <t>4.11</t>
  </si>
  <si>
    <t>5</t>
  </si>
  <si>
    <t>6</t>
  </si>
  <si>
    <t>7</t>
  </si>
  <si>
    <t>8</t>
  </si>
  <si>
    <t>9</t>
  </si>
  <si>
    <t>по жилому дому г. Унеча ул. Крупской д.44</t>
  </si>
  <si>
    <t>за 2010 г</t>
  </si>
  <si>
    <t>10</t>
  </si>
  <si>
    <t>Финансовый результат по дому с начала года</t>
  </si>
  <si>
    <t>Итого за 2011 г</t>
  </si>
  <si>
    <t>Проверка дымовых каналов</t>
  </si>
  <si>
    <t>11</t>
  </si>
  <si>
    <t>Результат за месяц</t>
  </si>
  <si>
    <t>Итого за 2012 г</t>
  </si>
  <si>
    <t>Благоустройство территории</t>
  </si>
  <si>
    <t>4.13</t>
  </si>
  <si>
    <t>4.14</t>
  </si>
  <si>
    <t>Итого за 2013 г</t>
  </si>
  <si>
    <t>4.3</t>
  </si>
  <si>
    <t>Тех.обслуживание  газопроводов</t>
  </si>
  <si>
    <t xml:space="preserve">Материалы </t>
  </si>
  <si>
    <t>Итого за 2014 г</t>
  </si>
  <si>
    <t>рентабельность 5%</t>
  </si>
  <si>
    <t>Услуги сторонних орган.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</si>
  <si>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</si>
  <si>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</si>
  <si>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Итого за 2015 г</t>
  </si>
  <si>
    <t>Исполнитель  вед. экономист /Викторова Л.С./</t>
  </si>
  <si>
    <t>Итого за 2016 г</t>
  </si>
  <si>
    <t>Итого за 2017 г</t>
  </si>
  <si>
    <t>Начислено   СОИД</t>
  </si>
  <si>
    <t>Электроэнергия  СОИД</t>
  </si>
  <si>
    <t>Холодная вода СОИД</t>
  </si>
  <si>
    <t>Канализация СОИД</t>
  </si>
  <si>
    <t>Дератизация</t>
  </si>
  <si>
    <t>Транспортные(ГСМ,зап.части,амортизация,страхование )</t>
  </si>
  <si>
    <t>Итого за 2018 г</t>
  </si>
  <si>
    <t>Итого за 2019 г</t>
  </si>
  <si>
    <t>Дом по ул.Крупской д. 44 вступил в ООО "Наш дом" с февраля 2010 года    тариф 9,2 руб с января 2019 года тариф 8,6 руб.</t>
  </si>
  <si>
    <t>ООО "НД УНЕЧА"</t>
  </si>
  <si>
    <t>Итого за 2020 г</t>
  </si>
  <si>
    <t>Всего за 2010-2020</t>
  </si>
  <si>
    <t>Утилизация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</si>
</sst>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0" xfId="0" applyFont="1" applyBorder="1" applyAlignment="1">
      <alignment/>
    </xf>
    <xf numFmtId="0" fontId="21" fillId="0" borderId="25" xfId="0" applyFont="1" applyBorder="1" applyAlignment="1">
      <alignment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0" fontId="25" fillId="0" borderId="27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8" xfId="0" applyFont="1" applyBorder="1" applyAlignment="1">
      <alignment horizontal="left" vertical="center" wrapText="1"/>
    </xf>
    <xf numFmtId="0" fontId="24" fillId="0" borderId="29" xfId="0" applyFont="1" applyBorder="1" applyAlignment="1">
      <alignment wrapText="1"/>
    </xf>
    <xf numFmtId="0" fontId="21" fillId="0" borderId="30" xfId="0" applyFont="1" applyBorder="1" applyAlignment="1">
      <alignment horizontal="left" wrapText="1"/>
    </xf>
    <xf numFmtId="49" fontId="21" fillId="0" borderId="29" xfId="0" applyNumberFormat="1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2" borderId="32" xfId="0" applyFont="1" applyFill="1" applyBorder="1" applyAlignment="1">
      <alignment wrapText="1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23" fillId="0" borderId="27" xfId="0" applyFont="1" applyBorder="1" applyAlignment="1">
      <alignment horizontal="left" vertical="center" wrapText="1"/>
    </xf>
    <xf numFmtId="0" fontId="21" fillId="0" borderId="27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2" borderId="36" xfId="0" applyFont="1" applyFill="1" applyBorder="1" applyAlignment="1">
      <alignment wrapText="1"/>
    </xf>
    <xf numFmtId="2" fontId="21" fillId="0" borderId="37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0" fontId="22" fillId="0" borderId="0" xfId="0" applyFont="1" applyBorder="1" applyAlignment="1">
      <alignment horizontal="left" wrapText="1"/>
    </xf>
    <xf numFmtId="0" fontId="2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2" borderId="28" xfId="0" applyFill="1" applyBorder="1" applyAlignment="1">
      <alignment/>
    </xf>
    <xf numFmtId="0" fontId="19" fillId="0" borderId="27" xfId="0" applyFont="1" applyBorder="1" applyAlignment="1">
      <alignment horizontal="center" vertical="center" wrapText="1"/>
    </xf>
    <xf numFmtId="0" fontId="21" fillId="0" borderId="37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6" xfId="0" applyFont="1" applyFill="1" applyBorder="1" applyAlignment="1">
      <alignment/>
    </xf>
    <xf numFmtId="0" fontId="25" fillId="0" borderId="33" xfId="0" applyFont="1" applyBorder="1" applyAlignment="1">
      <alignment/>
    </xf>
    <xf numFmtId="2" fontId="25" fillId="0" borderId="27" xfId="0" applyNumberFormat="1" applyFont="1" applyBorder="1" applyAlignment="1">
      <alignment/>
    </xf>
    <xf numFmtId="49" fontId="0" fillId="0" borderId="36" xfId="0" applyNumberFormat="1" applyBorder="1" applyAlignment="1">
      <alignment horizontal="center"/>
    </xf>
    <xf numFmtId="2" fontId="21" fillId="0" borderId="36" xfId="0" applyNumberFormat="1" applyFont="1" applyBorder="1" applyAlignment="1">
      <alignment horizontal="right" wrapText="1"/>
    </xf>
    <xf numFmtId="0" fontId="25" fillId="0" borderId="28" xfId="0" applyFont="1" applyBorder="1" applyAlignment="1">
      <alignment/>
    </xf>
    <xf numFmtId="0" fontId="26" fillId="0" borderId="33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6" fillId="0" borderId="38" xfId="0" applyFont="1" applyBorder="1" applyAlignment="1">
      <alignment wrapText="1"/>
    </xf>
    <xf numFmtId="2" fontId="21" fillId="0" borderId="38" xfId="0" applyNumberFormat="1" applyFont="1" applyBorder="1" applyAlignment="1">
      <alignment horizontal="right" wrapText="1"/>
    </xf>
    <xf numFmtId="2" fontId="21" fillId="0" borderId="39" xfId="0" applyNumberFormat="1" applyFont="1" applyBorder="1" applyAlignment="1">
      <alignment horizontal="right" wrapText="1"/>
    </xf>
    <xf numFmtId="2" fontId="21" fillId="0" borderId="40" xfId="0" applyNumberFormat="1" applyFont="1" applyBorder="1" applyAlignment="1">
      <alignment horizontal="right" wrapText="1"/>
    </xf>
    <xf numFmtId="2" fontId="21" fillId="0" borderId="41" xfId="0" applyNumberFormat="1" applyFont="1" applyBorder="1" applyAlignment="1">
      <alignment horizontal="right" wrapText="1"/>
    </xf>
    <xf numFmtId="2" fontId="21" fillId="0" borderId="18" xfId="0" applyNumberFormat="1" applyFont="1" applyBorder="1" applyAlignment="1">
      <alignment/>
    </xf>
    <xf numFmtId="2" fontId="21" fillId="0" borderId="27" xfId="0" applyNumberFormat="1" applyFont="1" applyBorder="1" applyAlignment="1">
      <alignment/>
    </xf>
    <xf numFmtId="2" fontId="21" fillId="0" borderId="11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19" fillId="0" borderId="42" xfId="0" applyFont="1" applyBorder="1" applyAlignment="1">
      <alignment horizontal="center" vertical="center" wrapText="1"/>
    </xf>
    <xf numFmtId="0" fontId="21" fillId="0" borderId="42" xfId="0" applyFont="1" applyBorder="1" applyAlignment="1">
      <alignment/>
    </xf>
    <xf numFmtId="0" fontId="26" fillId="0" borderId="37" xfId="0" applyFont="1" applyBorder="1" applyAlignment="1">
      <alignment wrapText="1"/>
    </xf>
    <xf numFmtId="2" fontId="21" fillId="0" borderId="26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49" fontId="22" fillId="0" borderId="34" xfId="0" applyNumberFormat="1" applyFont="1" applyBorder="1" applyAlignment="1">
      <alignment horizontal="center"/>
    </xf>
    <xf numFmtId="0" fontId="19" fillId="0" borderId="28" xfId="0" applyFont="1" applyBorder="1" applyAlignment="1">
      <alignment wrapText="1"/>
    </xf>
    <xf numFmtId="0" fontId="27" fillId="0" borderId="27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11" xfId="0" applyFont="1" applyBorder="1" applyAlignment="1">
      <alignment/>
    </xf>
    <xf numFmtId="0" fontId="28" fillId="0" borderId="27" xfId="0" applyFont="1" applyBorder="1" applyAlignment="1">
      <alignment/>
    </xf>
    <xf numFmtId="0" fontId="22" fillId="0" borderId="0" xfId="0" applyFont="1" applyAlignment="1">
      <alignment/>
    </xf>
    <xf numFmtId="0" fontId="27" fillId="0" borderId="28" xfId="0" applyFont="1" applyBorder="1" applyAlignment="1">
      <alignment wrapText="1"/>
    </xf>
    <xf numFmtId="0" fontId="27" fillId="0" borderId="27" xfId="0" applyFont="1" applyBorder="1" applyAlignment="1">
      <alignment wrapText="1"/>
    </xf>
    <xf numFmtId="0" fontId="27" fillId="0" borderId="42" xfId="0" applyFont="1" applyBorder="1" applyAlignment="1">
      <alignment/>
    </xf>
    <xf numFmtId="2" fontId="27" fillId="0" borderId="27" xfId="0" applyNumberFormat="1" applyFont="1" applyBorder="1" applyAlignment="1">
      <alignment/>
    </xf>
    <xf numFmtId="2" fontId="27" fillId="0" borderId="23" xfId="0" applyNumberFormat="1" applyFont="1" applyBorder="1" applyAlignment="1">
      <alignment/>
    </xf>
    <xf numFmtId="2" fontId="27" fillId="0" borderId="11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22" fillId="0" borderId="28" xfId="0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"/>
  <sheetViews>
    <sheetView tabSelected="1" zoomScalePageLayoutView="0" workbookViewId="0" topLeftCell="A10">
      <selection activeCell="B12" sqref="B12"/>
    </sheetView>
  </sheetViews>
  <sheetFormatPr defaultColWidth="9.00390625" defaultRowHeight="12.75"/>
  <cols>
    <col min="1" max="1" width="3.75390625" style="30" customWidth="1"/>
    <col min="2" max="2" width="19.25390625" style="0" customWidth="1"/>
    <col min="3" max="3" width="7.75390625" style="0" hidden="1" customWidth="1"/>
    <col min="4" max="4" width="8.125" style="0" hidden="1" customWidth="1"/>
    <col min="5" max="5" width="11.875" style="0" hidden="1" customWidth="1"/>
    <col min="6" max="6" width="11.00390625" style="0" hidden="1" customWidth="1"/>
    <col min="7" max="8" width="10.625" style="0" hidden="1" customWidth="1"/>
    <col min="9" max="9" width="10.875" style="0" hidden="1" customWidth="1"/>
    <col min="10" max="10" width="8.625" style="0" hidden="1" customWidth="1"/>
    <col min="11" max="12" width="9.375" style="0" hidden="1" customWidth="1"/>
    <col min="13" max="14" width="9.00390625" style="0" customWidth="1"/>
    <col min="15" max="15" width="8.00390625" style="0" customWidth="1"/>
    <col min="16" max="16" width="8.75390625" style="0" customWidth="1"/>
    <col min="17" max="17" width="8.25390625" style="0" customWidth="1"/>
    <col min="18" max="18" width="7.875" style="0" customWidth="1"/>
    <col min="19" max="19" width="8.375" style="0" customWidth="1"/>
    <col min="20" max="20" width="8.25390625" style="0" customWidth="1"/>
    <col min="21" max="21" width="8.625" style="0" customWidth="1"/>
    <col min="22" max="22" width="8.875" style="0" customWidth="1"/>
    <col min="23" max="23" width="8.25390625" style="0" customWidth="1"/>
    <col min="24" max="24" width="8.75390625" style="0" customWidth="1"/>
    <col min="25" max="25" width="10.25390625" style="0" customWidth="1"/>
    <col min="26" max="26" width="9.75390625" style="0" customWidth="1"/>
  </cols>
  <sheetData>
    <row r="1" spans="2:31" ht="12.75" customHeight="1">
      <c r="B1" s="99" t="s">
        <v>76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2:31" ht="12.75" customHeight="1">
      <c r="B2" s="99" t="s">
        <v>75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50"/>
      <c r="Z2" s="4"/>
      <c r="AA2" s="4"/>
      <c r="AB2" s="4"/>
      <c r="AC2" s="4"/>
      <c r="AD2" s="4"/>
      <c r="AE2" s="4"/>
    </row>
    <row r="3" spans="2:31" ht="12.75" customHeight="1">
      <c r="B3" s="98" t="s">
        <v>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3"/>
      <c r="AB3" s="3"/>
      <c r="AC3" s="3"/>
      <c r="AD3" s="3"/>
      <c r="AE3" s="3"/>
    </row>
    <row r="4" spans="2:31" ht="15" customHeight="1">
      <c r="B4" s="97" t="s">
        <v>7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2"/>
      <c r="AB4" s="2"/>
      <c r="AC4" s="2"/>
      <c r="AD4" s="2"/>
      <c r="AE4" s="2"/>
    </row>
    <row r="5" spans="2:31" ht="15.75" customHeight="1" thickBot="1">
      <c r="B5" s="97" t="s">
        <v>42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2"/>
      <c r="AB5" s="2"/>
      <c r="AC5" s="2"/>
      <c r="AD5" s="2"/>
      <c r="AE5" s="2"/>
    </row>
    <row r="6" spans="2:31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"/>
      <c r="AB6" s="2"/>
      <c r="AC6" s="2"/>
      <c r="AD6" s="2"/>
      <c r="AE6" s="2"/>
    </row>
    <row r="7" spans="1:31" ht="26.25" customHeight="1" thickBot="1">
      <c r="A7" s="40" t="s">
        <v>24</v>
      </c>
      <c r="B7" s="31" t="s">
        <v>4</v>
      </c>
      <c r="C7" s="43" t="s">
        <v>43</v>
      </c>
      <c r="D7" s="54" t="s">
        <v>46</v>
      </c>
      <c r="E7" s="54" t="s">
        <v>50</v>
      </c>
      <c r="F7" s="77" t="s">
        <v>54</v>
      </c>
      <c r="G7" s="54" t="s">
        <v>58</v>
      </c>
      <c r="H7" s="54" t="s">
        <v>63</v>
      </c>
      <c r="I7" s="54" t="s">
        <v>65</v>
      </c>
      <c r="J7" s="54" t="s">
        <v>66</v>
      </c>
      <c r="K7" s="54" t="s">
        <v>73</v>
      </c>
      <c r="L7" s="54" t="s">
        <v>74</v>
      </c>
      <c r="M7" s="6" t="s">
        <v>8</v>
      </c>
      <c r="N7" s="5" t="s">
        <v>9</v>
      </c>
      <c r="O7" s="5" t="s">
        <v>10</v>
      </c>
      <c r="P7" s="5" t="s">
        <v>11</v>
      </c>
      <c r="Q7" s="5" t="s">
        <v>12</v>
      </c>
      <c r="R7" s="5" t="s">
        <v>13</v>
      </c>
      <c r="S7" s="5" t="s">
        <v>14</v>
      </c>
      <c r="T7" s="5" t="s">
        <v>15</v>
      </c>
      <c r="U7" s="5" t="s">
        <v>16</v>
      </c>
      <c r="V7" s="5" t="s">
        <v>17</v>
      </c>
      <c r="W7" s="5" t="s">
        <v>19</v>
      </c>
      <c r="X7" s="17" t="s">
        <v>18</v>
      </c>
      <c r="Y7" s="54" t="s">
        <v>77</v>
      </c>
      <c r="Z7" s="51" t="s">
        <v>78</v>
      </c>
      <c r="AA7" s="1"/>
      <c r="AB7" s="1"/>
      <c r="AC7" s="1"/>
      <c r="AD7" s="1"/>
      <c r="AE7" s="1"/>
    </row>
    <row r="8" spans="1:26" ht="13.5" thickBot="1">
      <c r="A8" s="41" t="s">
        <v>25</v>
      </c>
      <c r="B8" s="32" t="s">
        <v>1</v>
      </c>
      <c r="C8" s="64">
        <v>58026.24</v>
      </c>
      <c r="D8" s="68">
        <v>63058.64</v>
      </c>
      <c r="E8" s="64">
        <v>62390.72</v>
      </c>
      <c r="F8" s="68">
        <v>61566.4</v>
      </c>
      <c r="G8" s="64">
        <v>61658.4</v>
      </c>
      <c r="H8" s="64">
        <v>63880.48</v>
      </c>
      <c r="I8" s="68">
        <v>61539.32</v>
      </c>
      <c r="J8" s="64">
        <v>61492.8</v>
      </c>
      <c r="K8" s="64">
        <v>61492.8</v>
      </c>
      <c r="L8" s="64">
        <v>57482.4</v>
      </c>
      <c r="M8" s="7">
        <v>4790.2</v>
      </c>
      <c r="N8" s="7">
        <v>4790.2</v>
      </c>
      <c r="O8" s="7">
        <v>4790.2</v>
      </c>
      <c r="P8" s="7">
        <v>4790.2</v>
      </c>
      <c r="Q8" s="7">
        <v>4790.2</v>
      </c>
      <c r="R8" s="7">
        <v>4790.2</v>
      </c>
      <c r="S8" s="7">
        <v>4790.2</v>
      </c>
      <c r="T8" s="7">
        <v>4790.2</v>
      </c>
      <c r="U8" s="7">
        <v>4790.2</v>
      </c>
      <c r="V8" s="7">
        <v>4790.2</v>
      </c>
      <c r="W8" s="7">
        <v>4790.2</v>
      </c>
      <c r="X8" s="7">
        <v>4957.3</v>
      </c>
      <c r="Y8" s="55">
        <f>SUM(M8:X8)</f>
        <v>57649.49999999999</v>
      </c>
      <c r="Z8" s="59">
        <f>SUM(C8:X8)</f>
        <v>670237.6999999996</v>
      </c>
    </row>
    <row r="9" spans="1:26" ht="13.5" thickBot="1">
      <c r="A9" s="41"/>
      <c r="B9" s="32" t="s">
        <v>67</v>
      </c>
      <c r="C9" s="79"/>
      <c r="D9" s="68"/>
      <c r="E9" s="79"/>
      <c r="F9" s="68"/>
      <c r="G9" s="79"/>
      <c r="H9" s="79"/>
      <c r="I9" s="68"/>
      <c r="J9" s="79">
        <v>2652.02</v>
      </c>
      <c r="K9" s="79">
        <v>1351.23</v>
      </c>
      <c r="L9" s="79">
        <v>713.4</v>
      </c>
      <c r="M9" s="7">
        <f aca="true" t="shared" si="0" ref="M9:R9">31.13+30.12</f>
        <v>61.25</v>
      </c>
      <c r="N9" s="7">
        <f t="shared" si="0"/>
        <v>61.25</v>
      </c>
      <c r="O9" s="7">
        <f t="shared" si="0"/>
        <v>61.25</v>
      </c>
      <c r="P9" s="7">
        <f t="shared" si="0"/>
        <v>61.25</v>
      </c>
      <c r="Q9" s="7">
        <f t="shared" si="0"/>
        <v>61.25</v>
      </c>
      <c r="R9" s="7">
        <f t="shared" si="0"/>
        <v>61.25</v>
      </c>
      <c r="S9" s="8">
        <f aca="true" t="shared" si="1" ref="S9:X9">32.41+30.21</f>
        <v>62.62</v>
      </c>
      <c r="T9" s="8">
        <f t="shared" si="1"/>
        <v>62.62</v>
      </c>
      <c r="U9" s="8">
        <f t="shared" si="1"/>
        <v>62.62</v>
      </c>
      <c r="V9" s="8">
        <f t="shared" si="1"/>
        <v>62.62</v>
      </c>
      <c r="W9" s="8">
        <f t="shared" si="1"/>
        <v>62.62</v>
      </c>
      <c r="X9" s="8">
        <f t="shared" si="1"/>
        <v>62.62</v>
      </c>
      <c r="Y9" s="55">
        <f>SUM(M9:X9)</f>
        <v>743.22</v>
      </c>
      <c r="Z9" s="59">
        <f>SUM(C9:X9)</f>
        <v>5459.869999999999</v>
      </c>
    </row>
    <row r="10" spans="1:26" s="88" customFormat="1" ht="13.5" thickBot="1">
      <c r="A10" s="82" t="s">
        <v>26</v>
      </c>
      <c r="B10" s="83" t="s">
        <v>2</v>
      </c>
      <c r="C10" s="84">
        <f aca="true" t="shared" si="2" ref="C10:M10">SUM(C11:C25)</f>
        <v>44898.32</v>
      </c>
      <c r="D10" s="85">
        <f t="shared" si="2"/>
        <v>59814.200000000004</v>
      </c>
      <c r="E10" s="84">
        <f t="shared" si="2"/>
        <v>56382.75000000001</v>
      </c>
      <c r="F10" s="85">
        <f t="shared" si="2"/>
        <v>76728.34999999999</v>
      </c>
      <c r="G10" s="84">
        <f t="shared" si="2"/>
        <v>60248.46</v>
      </c>
      <c r="H10" s="84">
        <f>SUM(H11:H25)</f>
        <v>61336.52</v>
      </c>
      <c r="I10" s="85">
        <f>SUM(I11:I25)</f>
        <v>61518.94</v>
      </c>
      <c r="J10" s="84">
        <f>SUM(J11:J25)</f>
        <v>53576.01</v>
      </c>
      <c r="K10" s="84">
        <f t="shared" si="2"/>
        <v>68498.59999999999</v>
      </c>
      <c r="L10" s="84">
        <f t="shared" si="2"/>
        <v>52583.09</v>
      </c>
      <c r="M10" s="86">
        <f t="shared" si="2"/>
        <v>4483.08</v>
      </c>
      <c r="N10" s="86">
        <f aca="true" t="shared" si="3" ref="N10:X10">SUM(N11:N25)</f>
        <v>4101.37</v>
      </c>
      <c r="O10" s="86">
        <f t="shared" si="3"/>
        <v>3199.0900000000006</v>
      </c>
      <c r="P10" s="86">
        <f t="shared" si="3"/>
        <v>4076.53</v>
      </c>
      <c r="Q10" s="86">
        <f t="shared" si="3"/>
        <v>4169.400000000001</v>
      </c>
      <c r="R10" s="86">
        <f t="shared" si="3"/>
        <v>4143.65</v>
      </c>
      <c r="S10" s="86">
        <f t="shared" si="3"/>
        <v>4591.8</v>
      </c>
      <c r="T10" s="86">
        <f t="shared" si="3"/>
        <v>10531.429999999998</v>
      </c>
      <c r="U10" s="86">
        <f t="shared" si="3"/>
        <v>4836.57</v>
      </c>
      <c r="V10" s="86">
        <f t="shared" si="3"/>
        <v>4018.62</v>
      </c>
      <c r="W10" s="86">
        <f t="shared" si="3"/>
        <v>5219.83</v>
      </c>
      <c r="X10" s="85">
        <f t="shared" si="3"/>
        <v>4383.9</v>
      </c>
      <c r="Y10" s="84">
        <f>SUM(M10:X10)</f>
        <v>57755.270000000004</v>
      </c>
      <c r="Z10" s="87">
        <f>SUM(C10:X10)</f>
        <v>653340.51</v>
      </c>
    </row>
    <row r="11" spans="1:26" ht="15.75" customHeight="1" thickBot="1">
      <c r="A11" s="41" t="s">
        <v>27</v>
      </c>
      <c r="B11" s="34" t="s">
        <v>79</v>
      </c>
      <c r="C11" s="47">
        <v>12305.62</v>
      </c>
      <c r="D11" s="69">
        <v>15404.67</v>
      </c>
      <c r="E11" s="47">
        <v>15403.6</v>
      </c>
      <c r="F11" s="69">
        <v>16388.72</v>
      </c>
      <c r="G11" s="47">
        <v>17950.79</v>
      </c>
      <c r="H11" s="47">
        <v>17392.77</v>
      </c>
      <c r="I11" s="69">
        <v>14624.1</v>
      </c>
      <c r="J11" s="47">
        <v>13923.74</v>
      </c>
      <c r="K11" s="47">
        <v>13028.63</v>
      </c>
      <c r="L11" s="47">
        <v>130.46</v>
      </c>
      <c r="M11" s="7"/>
      <c r="N11" s="8">
        <v>8.51</v>
      </c>
      <c r="O11" s="8">
        <v>9.9</v>
      </c>
      <c r="P11" s="8">
        <v>10.57</v>
      </c>
      <c r="Q11" s="8">
        <v>16.92</v>
      </c>
      <c r="R11" s="8">
        <v>12.45</v>
      </c>
      <c r="S11" s="8">
        <v>19.74</v>
      </c>
      <c r="T11" s="8">
        <v>20.44</v>
      </c>
      <c r="U11" s="8">
        <v>48.53</v>
      </c>
      <c r="V11" s="8">
        <v>20.81</v>
      </c>
      <c r="W11" s="8">
        <v>1.47</v>
      </c>
      <c r="X11" s="18">
        <v>1.96</v>
      </c>
      <c r="Y11" s="56">
        <f aca="true" t="shared" si="4" ref="Y11:Y27">SUM(M11:X11)</f>
        <v>171.3</v>
      </c>
      <c r="Z11" s="29">
        <f aca="true" t="shared" si="5" ref="Z11:Z25">SUM(C11:X11)</f>
        <v>136724.40000000002</v>
      </c>
    </row>
    <row r="12" spans="1:26" ht="13.5" customHeight="1" thickBot="1">
      <c r="A12" s="41" t="s">
        <v>28</v>
      </c>
      <c r="B12" s="35" t="s">
        <v>60</v>
      </c>
      <c r="C12" s="48">
        <v>12902.55</v>
      </c>
      <c r="D12" s="70">
        <v>5764.92</v>
      </c>
      <c r="E12" s="48">
        <v>1141.85</v>
      </c>
      <c r="F12" s="70">
        <v>2686.6</v>
      </c>
      <c r="G12" s="48"/>
      <c r="H12" s="48">
        <v>613.52</v>
      </c>
      <c r="I12" s="70">
        <v>40.23</v>
      </c>
      <c r="J12" s="48">
        <v>0</v>
      </c>
      <c r="K12" s="48">
        <v>600</v>
      </c>
      <c r="L12" s="48">
        <v>0</v>
      </c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9"/>
      <c r="Y12" s="56">
        <f t="shared" si="4"/>
        <v>0</v>
      </c>
      <c r="Z12" s="29">
        <f t="shared" si="5"/>
        <v>23749.67</v>
      </c>
    </row>
    <row r="13" spans="1:26" ht="21.75" customHeight="1" thickBot="1">
      <c r="A13" s="41" t="s">
        <v>55</v>
      </c>
      <c r="B13" s="33" t="s">
        <v>47</v>
      </c>
      <c r="C13" s="48">
        <v>0</v>
      </c>
      <c r="D13" s="70">
        <v>717.98</v>
      </c>
      <c r="E13" s="48">
        <v>0</v>
      </c>
      <c r="F13" s="70">
        <v>0</v>
      </c>
      <c r="G13" s="48"/>
      <c r="H13" s="48">
        <v>0</v>
      </c>
      <c r="I13" s="70">
        <v>400</v>
      </c>
      <c r="J13" s="48">
        <v>500</v>
      </c>
      <c r="K13" s="48">
        <v>600</v>
      </c>
      <c r="L13" s="48">
        <v>600</v>
      </c>
      <c r="M13" s="9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9"/>
      <c r="Y13" s="56">
        <f t="shared" si="4"/>
        <v>0</v>
      </c>
      <c r="Z13" s="29">
        <f t="shared" si="5"/>
        <v>2817.98</v>
      </c>
    </row>
    <row r="14" spans="1:26" ht="21.75" customHeight="1" thickBot="1">
      <c r="A14" s="41" t="s">
        <v>29</v>
      </c>
      <c r="B14" s="35" t="s">
        <v>56</v>
      </c>
      <c r="C14" s="48"/>
      <c r="D14" s="70"/>
      <c r="E14" s="48"/>
      <c r="F14" s="70">
        <v>10713.22</v>
      </c>
      <c r="G14" s="48"/>
      <c r="H14" s="48">
        <v>0</v>
      </c>
      <c r="I14" s="70">
        <v>8514.1</v>
      </c>
      <c r="J14" s="48">
        <v>0</v>
      </c>
      <c r="K14" s="48">
        <v>12905.77</v>
      </c>
      <c r="L14" s="48">
        <v>5659.1</v>
      </c>
      <c r="M14" s="9"/>
      <c r="N14" s="10"/>
      <c r="O14" s="10"/>
      <c r="P14" s="10"/>
      <c r="Q14" s="10"/>
      <c r="R14" s="10"/>
      <c r="S14" s="10"/>
      <c r="T14" s="10">
        <v>5911.7</v>
      </c>
      <c r="U14" s="10"/>
      <c r="V14" s="10"/>
      <c r="W14" s="10"/>
      <c r="X14" s="19"/>
      <c r="Y14" s="56">
        <f>SUM(M14:X14)</f>
        <v>5911.7</v>
      </c>
      <c r="Z14" s="29">
        <f>SUM(C14:X14)</f>
        <v>43703.89</v>
      </c>
    </row>
    <row r="15" spans="1:26" ht="14.25" customHeight="1" thickBot="1">
      <c r="A15" s="41" t="s">
        <v>30</v>
      </c>
      <c r="B15" s="35" t="s">
        <v>57</v>
      </c>
      <c r="C15" s="48">
        <v>767.67</v>
      </c>
      <c r="D15" s="70">
        <v>1669.06</v>
      </c>
      <c r="E15" s="48">
        <v>116.03</v>
      </c>
      <c r="F15" s="70">
        <v>6953.22</v>
      </c>
      <c r="G15" s="48">
        <v>3129.69</v>
      </c>
      <c r="H15" s="48">
        <v>152.23</v>
      </c>
      <c r="I15" s="70">
        <v>843.8</v>
      </c>
      <c r="J15" s="48">
        <v>1332.36</v>
      </c>
      <c r="K15" s="48">
        <v>427.04</v>
      </c>
      <c r="L15" s="48">
        <v>705</v>
      </c>
      <c r="M15" s="9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9"/>
      <c r="Y15" s="56">
        <f t="shared" si="4"/>
        <v>0</v>
      </c>
      <c r="Z15" s="60">
        <f>SUM(C15:X15)</f>
        <v>16096.1</v>
      </c>
    </row>
    <row r="16" spans="1:26" ht="22.5" customHeight="1" thickBot="1">
      <c r="A16" s="41" t="s">
        <v>31</v>
      </c>
      <c r="B16" s="35" t="s">
        <v>51</v>
      </c>
      <c r="C16" s="48">
        <v>0</v>
      </c>
      <c r="D16" s="70">
        <v>0</v>
      </c>
      <c r="E16" s="48">
        <v>256</v>
      </c>
      <c r="F16" s="70">
        <v>0</v>
      </c>
      <c r="G16" s="48">
        <v>14.06</v>
      </c>
      <c r="H16" s="48">
        <v>52.96</v>
      </c>
      <c r="I16" s="70">
        <v>51</v>
      </c>
      <c r="J16" s="48">
        <v>310.68</v>
      </c>
      <c r="K16" s="48">
        <v>78</v>
      </c>
      <c r="L16" s="48">
        <v>62.08</v>
      </c>
      <c r="M16" s="9">
        <v>80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9"/>
      <c r="Y16" s="56">
        <f t="shared" si="4"/>
        <v>80</v>
      </c>
      <c r="Z16" s="60">
        <f>SUM(C16:X16)</f>
        <v>904.7800000000001</v>
      </c>
    </row>
    <row r="17" spans="1:26" ht="12" customHeight="1" thickBot="1">
      <c r="A17" s="41" t="s">
        <v>32</v>
      </c>
      <c r="B17" s="35" t="s">
        <v>68</v>
      </c>
      <c r="C17" s="48">
        <v>1452.82</v>
      </c>
      <c r="D17" s="70">
        <v>1838.06</v>
      </c>
      <c r="E17" s="48">
        <v>1042.04</v>
      </c>
      <c r="F17" s="70">
        <v>0</v>
      </c>
      <c r="G17" s="48"/>
      <c r="H17" s="48">
        <v>0</v>
      </c>
      <c r="I17" s="70">
        <v>0</v>
      </c>
      <c r="J17" s="48">
        <v>2174.43</v>
      </c>
      <c r="K17" s="48">
        <v>661.83</v>
      </c>
      <c r="L17" s="48">
        <v>0</v>
      </c>
      <c r="M17" s="9"/>
      <c r="N17" s="9"/>
      <c r="O17" s="9"/>
      <c r="P17" s="9"/>
      <c r="Q17" s="9"/>
      <c r="R17" s="9"/>
      <c r="S17" s="10"/>
      <c r="T17" s="10"/>
      <c r="U17" s="10"/>
      <c r="V17" s="10"/>
      <c r="W17" s="10"/>
      <c r="X17" s="19"/>
      <c r="Y17" s="56">
        <f t="shared" si="4"/>
        <v>0</v>
      </c>
      <c r="Z17" s="29">
        <f t="shared" si="5"/>
        <v>7169.18</v>
      </c>
    </row>
    <row r="18" spans="1:26" ht="12" customHeight="1" thickBot="1">
      <c r="A18" s="41"/>
      <c r="B18" s="35" t="s">
        <v>69</v>
      </c>
      <c r="C18" s="48"/>
      <c r="D18" s="70"/>
      <c r="E18" s="48"/>
      <c r="F18" s="70"/>
      <c r="G18" s="48"/>
      <c r="H18" s="48"/>
      <c r="I18" s="70"/>
      <c r="J18" s="48">
        <v>290.16</v>
      </c>
      <c r="K18" s="48">
        <v>365.82</v>
      </c>
      <c r="L18" s="48">
        <v>370.32</v>
      </c>
      <c r="M18" s="9">
        <v>31.14</v>
      </c>
      <c r="N18" s="9">
        <v>31.14</v>
      </c>
      <c r="O18" s="9">
        <v>31.14</v>
      </c>
      <c r="P18" s="9">
        <v>31.14</v>
      </c>
      <c r="Q18" s="9">
        <v>31.14</v>
      </c>
      <c r="R18" s="9">
        <v>31.14</v>
      </c>
      <c r="S18" s="9">
        <v>32.41</v>
      </c>
      <c r="T18" s="9">
        <v>32.41</v>
      </c>
      <c r="U18" s="9">
        <v>32.41</v>
      </c>
      <c r="V18" s="9">
        <v>32.41</v>
      </c>
      <c r="W18" s="9">
        <v>32.41</v>
      </c>
      <c r="X18" s="9">
        <v>32.41</v>
      </c>
      <c r="Y18" s="56">
        <f>SUM(M18:X18)</f>
        <v>381.29999999999984</v>
      </c>
      <c r="Z18" s="29">
        <f>SUM(C18:X18)</f>
        <v>1407.600000000001</v>
      </c>
    </row>
    <row r="19" spans="1:26" ht="12" customHeight="1" thickBot="1">
      <c r="A19" s="41"/>
      <c r="B19" s="35" t="s">
        <v>70</v>
      </c>
      <c r="C19" s="48"/>
      <c r="D19" s="70"/>
      <c r="E19" s="48"/>
      <c r="F19" s="70"/>
      <c r="G19" s="48"/>
      <c r="H19" s="48"/>
      <c r="I19" s="70"/>
      <c r="J19" s="48">
        <v>187.25</v>
      </c>
      <c r="K19" s="48">
        <v>323.46</v>
      </c>
      <c r="L19" s="48">
        <v>340.09</v>
      </c>
      <c r="M19" s="9">
        <v>30.12</v>
      </c>
      <c r="N19" s="9">
        <v>30.12</v>
      </c>
      <c r="O19" s="9">
        <v>30.12</v>
      </c>
      <c r="P19" s="9">
        <v>30.12</v>
      </c>
      <c r="Q19" s="9">
        <v>30.12</v>
      </c>
      <c r="R19" s="9">
        <v>30.12</v>
      </c>
      <c r="S19" s="9">
        <v>30.21</v>
      </c>
      <c r="T19" s="9">
        <v>30.21</v>
      </c>
      <c r="U19" s="9">
        <v>30.21</v>
      </c>
      <c r="V19" s="9">
        <v>30.21</v>
      </c>
      <c r="W19" s="9">
        <v>30.21</v>
      </c>
      <c r="X19" s="9">
        <v>30.21</v>
      </c>
      <c r="Y19" s="56">
        <f>SUM(M19:X19)</f>
        <v>361.97999999999996</v>
      </c>
      <c r="Z19" s="29">
        <f>SUM(C19:X19)</f>
        <v>1212.7800000000002</v>
      </c>
    </row>
    <row r="20" spans="1:26" ht="12" customHeight="1" thickBot="1">
      <c r="A20" s="41" t="s">
        <v>33</v>
      </c>
      <c r="B20" s="35" t="s">
        <v>71</v>
      </c>
      <c r="C20" s="48">
        <v>440.22</v>
      </c>
      <c r="D20" s="70">
        <v>343.15</v>
      </c>
      <c r="E20" s="48">
        <v>320.74</v>
      </c>
      <c r="F20" s="70">
        <v>304.99</v>
      </c>
      <c r="G20" s="48"/>
      <c r="H20" s="48">
        <v>0</v>
      </c>
      <c r="I20" s="70">
        <v>0</v>
      </c>
      <c r="J20" s="48">
        <v>0</v>
      </c>
      <c r="K20" s="48">
        <v>0</v>
      </c>
      <c r="L20" s="48">
        <v>0</v>
      </c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9"/>
      <c r="Y20" s="56">
        <f t="shared" si="4"/>
        <v>0</v>
      </c>
      <c r="Z20" s="29">
        <f t="shared" si="5"/>
        <v>1409.1000000000001</v>
      </c>
    </row>
    <row r="21" spans="1:26" ht="33.75" customHeight="1" thickBot="1">
      <c r="A21" s="41" t="s">
        <v>34</v>
      </c>
      <c r="B21" s="35" t="s">
        <v>72</v>
      </c>
      <c r="C21" s="48">
        <v>780.38</v>
      </c>
      <c r="D21" s="70">
        <v>2770.11</v>
      </c>
      <c r="E21" s="48">
        <v>3458.42</v>
      </c>
      <c r="F21" s="70">
        <v>3511.06</v>
      </c>
      <c r="G21" s="48">
        <v>2272.97</v>
      </c>
      <c r="H21" s="48">
        <v>2685.11</v>
      </c>
      <c r="I21" s="70">
        <v>2832.53</v>
      </c>
      <c r="J21" s="48">
        <v>2875.95</v>
      </c>
      <c r="K21" s="48">
        <v>3022.26</v>
      </c>
      <c r="L21" s="48">
        <v>2446.54</v>
      </c>
      <c r="M21" s="9">
        <v>179.68</v>
      </c>
      <c r="N21" s="10">
        <v>161.07</v>
      </c>
      <c r="O21" s="10">
        <v>200.25</v>
      </c>
      <c r="P21" s="10">
        <v>156.55</v>
      </c>
      <c r="Q21" s="10">
        <v>161.98</v>
      </c>
      <c r="R21" s="10">
        <v>163.49</v>
      </c>
      <c r="S21" s="10">
        <v>189.09</v>
      </c>
      <c r="T21" s="10">
        <v>235.65</v>
      </c>
      <c r="U21" s="10">
        <v>226.12</v>
      </c>
      <c r="V21" s="10">
        <v>262.82</v>
      </c>
      <c r="W21" s="10">
        <v>244.44</v>
      </c>
      <c r="X21" s="19">
        <v>223.13</v>
      </c>
      <c r="Y21" s="56">
        <f t="shared" si="4"/>
        <v>2404.27</v>
      </c>
      <c r="Z21" s="29">
        <f t="shared" si="5"/>
        <v>29059.600000000002</v>
      </c>
    </row>
    <row r="22" spans="1:26" ht="32.25" customHeight="1" thickBot="1">
      <c r="A22" s="41" t="s">
        <v>35</v>
      </c>
      <c r="B22" s="35" t="s">
        <v>61</v>
      </c>
      <c r="C22" s="48">
        <v>1379.79</v>
      </c>
      <c r="D22" s="70">
        <v>1511.08</v>
      </c>
      <c r="E22" s="48">
        <v>448.29</v>
      </c>
      <c r="F22" s="70">
        <v>314.32</v>
      </c>
      <c r="G22" s="48">
        <v>684.75</v>
      </c>
      <c r="H22" s="48">
        <v>462.75</v>
      </c>
      <c r="I22" s="70">
        <v>402.93</v>
      </c>
      <c r="J22" s="48">
        <v>314.58</v>
      </c>
      <c r="K22" s="48">
        <v>304.88</v>
      </c>
      <c r="L22" s="48">
        <v>277.05</v>
      </c>
      <c r="M22" s="9">
        <v>10.32</v>
      </c>
      <c r="N22" s="10">
        <v>14.62</v>
      </c>
      <c r="O22" s="10">
        <v>14.01</v>
      </c>
      <c r="P22" s="10">
        <v>13.99</v>
      </c>
      <c r="Q22" s="10">
        <v>13.64</v>
      </c>
      <c r="R22" s="10">
        <v>11.92</v>
      </c>
      <c r="S22" s="10">
        <v>26.89</v>
      </c>
      <c r="T22" s="10">
        <v>13.95</v>
      </c>
      <c r="U22" s="10">
        <v>8.52</v>
      </c>
      <c r="V22" s="10">
        <v>25.74</v>
      </c>
      <c r="W22" s="10">
        <v>11.07</v>
      </c>
      <c r="X22" s="19">
        <v>30.14</v>
      </c>
      <c r="Y22" s="56">
        <f t="shared" si="4"/>
        <v>194.81</v>
      </c>
      <c r="Z22" s="29">
        <f t="shared" si="5"/>
        <v>6295.2300000000005</v>
      </c>
    </row>
    <row r="23" spans="1:26" ht="34.5" customHeight="1" thickBot="1">
      <c r="A23" s="41" t="s">
        <v>36</v>
      </c>
      <c r="B23" s="35" t="s">
        <v>62</v>
      </c>
      <c r="C23" s="48">
        <v>418.5</v>
      </c>
      <c r="D23" s="70">
        <v>2513.58</v>
      </c>
      <c r="E23" s="48">
        <v>2326.98</v>
      </c>
      <c r="F23" s="70">
        <v>3083.19</v>
      </c>
      <c r="G23" s="48">
        <v>2654.6</v>
      </c>
      <c r="H23" s="48">
        <v>3474.91</v>
      </c>
      <c r="I23" s="70">
        <v>2948</v>
      </c>
      <c r="J23" s="48">
        <v>3102.71</v>
      </c>
      <c r="K23" s="48">
        <f>3398.73-0.08</f>
        <v>3398.65</v>
      </c>
      <c r="L23" s="48">
        <v>3695.53</v>
      </c>
      <c r="M23" s="9">
        <f>7.34+96.67+157.64</f>
        <v>261.65</v>
      </c>
      <c r="N23" s="10">
        <f>7.61+113.56+169.12</f>
        <v>290.29</v>
      </c>
      <c r="O23" s="10">
        <f>7.26+102.45+173.38</f>
        <v>283.09000000000003</v>
      </c>
      <c r="P23" s="10">
        <f>9.02+120.51+161.86</f>
        <v>291.39</v>
      </c>
      <c r="Q23" s="10">
        <f>7.59+150.59+160.66</f>
        <v>318.84000000000003</v>
      </c>
      <c r="R23" s="10">
        <f>7.37+127.12+151.53</f>
        <v>286.02</v>
      </c>
      <c r="S23" s="10">
        <f>7.96+103.74+153.73</f>
        <v>265.42999999999995</v>
      </c>
      <c r="T23" s="10">
        <f>149.19+7.53+104.61</f>
        <v>261.33</v>
      </c>
      <c r="U23" s="10">
        <f>134.85+230.37</f>
        <v>365.22</v>
      </c>
      <c r="V23" s="10">
        <f>7.93+225.19+224.2</f>
        <v>457.32</v>
      </c>
      <c r="W23" s="10">
        <f>8.72+180.85+215.84</f>
        <v>405.40999999999997</v>
      </c>
      <c r="X23" s="19">
        <f>9.84+251.27+198.04</f>
        <v>459.15</v>
      </c>
      <c r="Y23" s="56">
        <f t="shared" si="4"/>
        <v>3945.1400000000003</v>
      </c>
      <c r="Z23" s="29">
        <f t="shared" si="5"/>
        <v>31561.790000000008</v>
      </c>
    </row>
    <row r="24" spans="1:26" ht="15.75" customHeight="1" thickBot="1">
      <c r="A24" s="41" t="s">
        <v>52</v>
      </c>
      <c r="B24" s="35" t="s">
        <v>6</v>
      </c>
      <c r="C24" s="48">
        <v>12448.53</v>
      </c>
      <c r="D24" s="70">
        <v>23433.96</v>
      </c>
      <c r="E24" s="48">
        <v>29255.15</v>
      </c>
      <c r="F24" s="70">
        <v>30463.49</v>
      </c>
      <c r="G24" s="48">
        <v>31233.98</v>
      </c>
      <c r="H24" s="48">
        <v>34137.75</v>
      </c>
      <c r="I24" s="70">
        <v>28595.89</v>
      </c>
      <c r="J24" s="48">
        <v>26197.39</v>
      </c>
      <c r="K24" s="48">
        <v>30396.97</v>
      </c>
      <c r="L24" s="48">
        <v>35533.71</v>
      </c>
      <c r="M24" s="9">
        <f>4483.08-775.32</f>
        <v>3707.7599999999998</v>
      </c>
      <c r="N24" s="10">
        <f>4101.37-722.51</f>
        <v>3378.8599999999997</v>
      </c>
      <c r="O24" s="10">
        <f>3199.09-752.78</f>
        <v>2446.3100000000004</v>
      </c>
      <c r="P24" s="10">
        <f>4076.53-717.41</f>
        <v>3359.1200000000003</v>
      </c>
      <c r="Q24" s="10">
        <f>4169.4-743.7</f>
        <v>3425.7</v>
      </c>
      <c r="R24" s="10">
        <f>4143.65-706.2</f>
        <v>3437.45</v>
      </c>
      <c r="S24" s="10">
        <f>4591.8-716.35</f>
        <v>3875.4500000000003</v>
      </c>
      <c r="T24" s="10">
        <f>10531.43-6680.63</f>
        <v>3850.8</v>
      </c>
      <c r="U24" s="10">
        <f>4836.57-896.76</f>
        <v>3939.8099999999995</v>
      </c>
      <c r="V24" s="10">
        <f>4018.62-1000.42</f>
        <v>3018.2</v>
      </c>
      <c r="W24" s="10">
        <f>5219.83-896.12</f>
        <v>4323.71</v>
      </c>
      <c r="X24" s="19">
        <f>4383.9-933.13</f>
        <v>3450.7699999999995</v>
      </c>
      <c r="Y24" s="56">
        <f t="shared" si="4"/>
        <v>42213.939999999995</v>
      </c>
      <c r="Z24" s="29">
        <f t="shared" si="5"/>
        <v>323910.76000000007</v>
      </c>
    </row>
    <row r="25" spans="1:26" ht="13.5" customHeight="1" thickBot="1">
      <c r="A25" s="41" t="s">
        <v>53</v>
      </c>
      <c r="B25" s="36" t="s">
        <v>3</v>
      </c>
      <c r="C25" s="49">
        <v>2002.24</v>
      </c>
      <c r="D25" s="71">
        <v>3847.63</v>
      </c>
      <c r="E25" s="49">
        <v>2613.65</v>
      </c>
      <c r="F25" s="71">
        <v>2309.54</v>
      </c>
      <c r="G25" s="49">
        <v>2307.62</v>
      </c>
      <c r="H25" s="49">
        <v>2364.52</v>
      </c>
      <c r="I25" s="71">
        <v>2266.36</v>
      </c>
      <c r="J25" s="49">
        <v>2366.76</v>
      </c>
      <c r="K25" s="49">
        <v>2385.29</v>
      </c>
      <c r="L25" s="49">
        <v>2763.21</v>
      </c>
      <c r="M25" s="11">
        <f>2.3+180.11</f>
        <v>182.41000000000003</v>
      </c>
      <c r="N25" s="12">
        <f>2.51+184.25</f>
        <v>186.76</v>
      </c>
      <c r="O25" s="12">
        <f>2.37+181.9</f>
        <v>184.27</v>
      </c>
      <c r="P25" s="12">
        <f>2.34+181.31</f>
        <v>183.65</v>
      </c>
      <c r="Q25" s="12">
        <f>2.16+168.9</f>
        <v>171.06</v>
      </c>
      <c r="R25" s="12">
        <f>2.16+168.9</f>
        <v>171.06</v>
      </c>
      <c r="S25" s="12">
        <f>1.93+150.65</f>
        <v>152.58</v>
      </c>
      <c r="T25" s="12">
        <f>2.26+172.68</f>
        <v>174.94</v>
      </c>
      <c r="U25" s="12">
        <f>2.39+183.36</f>
        <v>185.75</v>
      </c>
      <c r="V25" s="12">
        <f>2.21+168.9</f>
        <v>171.11</v>
      </c>
      <c r="W25" s="12">
        <f>2.21+168.9</f>
        <v>171.11</v>
      </c>
      <c r="X25" s="21">
        <f>2.01+154.12</f>
        <v>156.13</v>
      </c>
      <c r="Y25" s="56">
        <f t="shared" si="4"/>
        <v>2090.8300000000004</v>
      </c>
      <c r="Z25" s="29">
        <f t="shared" si="5"/>
        <v>27317.650000000005</v>
      </c>
    </row>
    <row r="26" spans="1:26" ht="13.5" customHeight="1" thickBot="1">
      <c r="A26" s="41"/>
      <c r="B26" s="38" t="s">
        <v>59</v>
      </c>
      <c r="C26" s="62"/>
      <c r="D26" s="72"/>
      <c r="E26" s="62"/>
      <c r="F26" s="72"/>
      <c r="G26" s="74">
        <f>G8*5%</f>
        <v>3082.92</v>
      </c>
      <c r="H26" s="74">
        <f>H8*5%</f>
        <v>3194.0240000000003</v>
      </c>
      <c r="I26" s="80">
        <f>I8*5%</f>
        <v>3076.9660000000003</v>
      </c>
      <c r="J26" s="81">
        <f>J8*5%</f>
        <v>3074.6400000000003</v>
      </c>
      <c r="K26" s="81">
        <f>K8*5%</f>
        <v>3074.6400000000003</v>
      </c>
      <c r="L26" s="81">
        <f>(L8+L9)*5%</f>
        <v>2909.7900000000004</v>
      </c>
      <c r="M26" s="73">
        <f>(M8+M9)*5%</f>
        <v>242.5725</v>
      </c>
      <c r="N26" s="73">
        <f aca="true" t="shared" si="6" ref="N26:X26">(N8+N9)*5%</f>
        <v>242.5725</v>
      </c>
      <c r="O26" s="73">
        <f t="shared" si="6"/>
        <v>242.5725</v>
      </c>
      <c r="P26" s="73">
        <f t="shared" si="6"/>
        <v>242.5725</v>
      </c>
      <c r="Q26" s="73">
        <f t="shared" si="6"/>
        <v>242.5725</v>
      </c>
      <c r="R26" s="73">
        <f t="shared" si="6"/>
        <v>242.5725</v>
      </c>
      <c r="S26" s="73">
        <f t="shared" si="6"/>
        <v>242.641</v>
      </c>
      <c r="T26" s="73">
        <f t="shared" si="6"/>
        <v>242.641</v>
      </c>
      <c r="U26" s="73">
        <f t="shared" si="6"/>
        <v>242.641</v>
      </c>
      <c r="V26" s="73">
        <f t="shared" si="6"/>
        <v>242.641</v>
      </c>
      <c r="W26" s="73">
        <f t="shared" si="6"/>
        <v>242.641</v>
      </c>
      <c r="X26" s="73">
        <f t="shared" si="6"/>
        <v>250.996</v>
      </c>
      <c r="Y26" s="74">
        <f t="shared" si="4"/>
        <v>2919.6360000000004</v>
      </c>
      <c r="Z26" s="63"/>
    </row>
    <row r="27" spans="1:26" ht="15.75" customHeight="1" thickBot="1">
      <c r="A27" s="41" t="s">
        <v>37</v>
      </c>
      <c r="B27" s="38" t="s">
        <v>49</v>
      </c>
      <c r="C27" s="62"/>
      <c r="D27" s="72"/>
      <c r="E27" s="62"/>
      <c r="F27" s="72"/>
      <c r="G27" s="62"/>
      <c r="H27" s="62"/>
      <c r="I27" s="72"/>
      <c r="J27" s="74">
        <f aca="true" t="shared" si="7" ref="J27:X27">SUM(J8+J9-J10)-J26</f>
        <v>7494.169999999997</v>
      </c>
      <c r="K27" s="74">
        <f>SUM(K8+K9-K10)-K26</f>
        <v>-8729.209999999985</v>
      </c>
      <c r="L27" s="74">
        <f>SUM(L8+L9-L10)-L26</f>
        <v>2702.920000000006</v>
      </c>
      <c r="M27" s="75">
        <f t="shared" si="7"/>
        <v>125.7974999999999</v>
      </c>
      <c r="N27" s="75">
        <f t="shared" si="7"/>
        <v>507.50749999999994</v>
      </c>
      <c r="O27" s="75">
        <f t="shared" si="7"/>
        <v>1409.7874999999992</v>
      </c>
      <c r="P27" s="75">
        <f t="shared" si="7"/>
        <v>532.3474999999996</v>
      </c>
      <c r="Q27" s="75">
        <f t="shared" si="7"/>
        <v>439.4774999999993</v>
      </c>
      <c r="R27" s="75">
        <f t="shared" si="7"/>
        <v>465.2275000000002</v>
      </c>
      <c r="S27" s="75">
        <f t="shared" si="7"/>
        <v>18.378999999999536</v>
      </c>
      <c r="T27" s="75">
        <f t="shared" si="7"/>
        <v>-5921.250999999998</v>
      </c>
      <c r="U27" s="75">
        <f t="shared" si="7"/>
        <v>-226.391</v>
      </c>
      <c r="V27" s="75">
        <f t="shared" si="7"/>
        <v>591.5589999999999</v>
      </c>
      <c r="W27" s="75">
        <f t="shared" si="7"/>
        <v>-609.6510000000002</v>
      </c>
      <c r="X27" s="75">
        <f t="shared" si="7"/>
        <v>385.02400000000046</v>
      </c>
      <c r="Y27" s="74">
        <f t="shared" si="4"/>
        <v>-2282.1860000000015</v>
      </c>
      <c r="Z27" s="63"/>
    </row>
    <row r="28" spans="1:26" ht="21.75" customHeight="1" thickBot="1">
      <c r="A28" s="82" t="s">
        <v>38</v>
      </c>
      <c r="B28" s="89" t="s">
        <v>20</v>
      </c>
      <c r="C28" s="90">
        <v>13127.92</v>
      </c>
      <c r="D28" s="85">
        <f>SUM(D8-D10)</f>
        <v>3244.439999999995</v>
      </c>
      <c r="E28" s="84">
        <f>SUM(E8-E10)</f>
        <v>6007.969999999994</v>
      </c>
      <c r="F28" s="91">
        <f>SUM(F8-F10)</f>
        <v>-15161.94999999999</v>
      </c>
      <c r="G28" s="92">
        <f>SUM(G8-G10)-G26</f>
        <v>-1672.9799999999977</v>
      </c>
      <c r="H28" s="92">
        <f>SUM(H8-H10)-H26</f>
        <v>-650.0639999999939</v>
      </c>
      <c r="I28" s="93">
        <f>SUM(I8-I10)-I26</f>
        <v>-3056.586000000003</v>
      </c>
      <c r="J28" s="92">
        <f>SUM(J8+J9-J10)-J26</f>
        <v>7494.169999999997</v>
      </c>
      <c r="K28" s="92">
        <f>SUM(K8+K9-K10)-K26</f>
        <v>-8729.209999999985</v>
      </c>
      <c r="L28" s="92">
        <f>SUM(L8+L9-L10)-L26</f>
        <v>2702.920000000006</v>
      </c>
      <c r="M28" s="94">
        <f>SUM(M8+M9-M10)-M26</f>
        <v>125.7974999999999</v>
      </c>
      <c r="N28" s="95">
        <f>SUM(N27+M28)</f>
        <v>633.3049999999998</v>
      </c>
      <c r="O28" s="95">
        <f aca="true" t="shared" si="8" ref="O28:X28">SUM(O27+N28)</f>
        <v>2043.092499999999</v>
      </c>
      <c r="P28" s="95">
        <f t="shared" si="8"/>
        <v>2575.4399999999987</v>
      </c>
      <c r="Q28" s="95">
        <f t="shared" si="8"/>
        <v>3014.9174999999977</v>
      </c>
      <c r="R28" s="95">
        <f t="shared" si="8"/>
        <v>3480.1449999999977</v>
      </c>
      <c r="S28" s="95">
        <f t="shared" si="8"/>
        <v>3498.523999999997</v>
      </c>
      <c r="T28" s="95">
        <f t="shared" si="8"/>
        <v>-2422.727000000001</v>
      </c>
      <c r="U28" s="95">
        <f t="shared" si="8"/>
        <v>-2649.1180000000013</v>
      </c>
      <c r="V28" s="95">
        <f t="shared" si="8"/>
        <v>-2057.5590000000016</v>
      </c>
      <c r="W28" s="95">
        <f t="shared" si="8"/>
        <v>-2667.210000000002</v>
      </c>
      <c r="X28" s="95">
        <f t="shared" si="8"/>
        <v>-2282.1860000000015</v>
      </c>
      <c r="Y28" s="84"/>
      <c r="Z28" s="96"/>
    </row>
    <row r="29" spans="1:26" ht="24.75" customHeight="1" thickBot="1">
      <c r="A29" s="41" t="s">
        <v>39</v>
      </c>
      <c r="B29" s="37" t="s">
        <v>21</v>
      </c>
      <c r="C29" s="44">
        <v>13127.92</v>
      </c>
      <c r="D29" s="20">
        <f>SUM(D8-D10,C29)</f>
        <v>16372.359999999995</v>
      </c>
      <c r="E29" s="56">
        <f>SUM(E8-E10,D29)</f>
        <v>22380.329999999987</v>
      </c>
      <c r="F29" s="78">
        <f>SUM(F8-F10,E29)</f>
        <v>7218.379999999997</v>
      </c>
      <c r="G29" s="74">
        <f aca="true" t="shared" si="9" ref="G29:M29">SUM(G28+F29)</f>
        <v>5545.4</v>
      </c>
      <c r="H29" s="74">
        <f t="shared" si="9"/>
        <v>4895.336000000006</v>
      </c>
      <c r="I29" s="74">
        <f t="shared" si="9"/>
        <v>1838.7500000000027</v>
      </c>
      <c r="J29" s="74">
        <f t="shared" si="9"/>
        <v>9332.92</v>
      </c>
      <c r="K29" s="74">
        <f t="shared" si="9"/>
        <v>603.7100000000155</v>
      </c>
      <c r="L29" s="74">
        <f t="shared" si="9"/>
        <v>3306.6300000000215</v>
      </c>
      <c r="M29" s="74">
        <f t="shared" si="9"/>
        <v>3432.4275000000216</v>
      </c>
      <c r="N29" s="76">
        <f>SUM(N27+M29)</f>
        <v>3939.9350000000213</v>
      </c>
      <c r="O29" s="76">
        <f>SUM(O27+N29)</f>
        <v>5349.722500000021</v>
      </c>
      <c r="P29" s="76">
        <f aca="true" t="shared" si="10" ref="P29:W29">SUM(P27+O29)</f>
        <v>5882.070000000021</v>
      </c>
      <c r="Q29" s="76">
        <f t="shared" si="10"/>
        <v>6321.54750000002</v>
      </c>
      <c r="R29" s="76">
        <f t="shared" si="10"/>
        <v>6786.77500000002</v>
      </c>
      <c r="S29" s="76">
        <f t="shared" si="10"/>
        <v>6805.15400000002</v>
      </c>
      <c r="T29" s="76">
        <f t="shared" si="10"/>
        <v>883.9030000000212</v>
      </c>
      <c r="U29" s="76">
        <f t="shared" si="10"/>
        <v>657.5120000000212</v>
      </c>
      <c r="V29" s="76">
        <f t="shared" si="10"/>
        <v>1249.071000000021</v>
      </c>
      <c r="W29" s="76">
        <f t="shared" si="10"/>
        <v>639.4200000000209</v>
      </c>
      <c r="X29" s="76">
        <f>SUM(X27+W29)</f>
        <v>1024.4440000000213</v>
      </c>
      <c r="Y29" s="56"/>
      <c r="Z29" s="29"/>
    </row>
    <row r="30" spans="1:26" ht="9.75" customHeight="1" hidden="1" thickBot="1">
      <c r="A30" s="41" t="s">
        <v>40</v>
      </c>
      <c r="B30" s="37" t="s">
        <v>5</v>
      </c>
      <c r="C30" s="44"/>
      <c r="D30" s="44"/>
      <c r="E30" s="65"/>
      <c r="F30" s="65"/>
      <c r="G30" s="65"/>
      <c r="H30" s="65"/>
      <c r="I30" s="65"/>
      <c r="J30" s="65"/>
      <c r="K30" s="65"/>
      <c r="L30" s="65"/>
      <c r="M30" s="13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2"/>
      <c r="Y30" s="56"/>
      <c r="Z30" s="52"/>
    </row>
    <row r="31" spans="1:26" ht="15" customHeight="1" hidden="1" thickBot="1">
      <c r="A31" s="42" t="s">
        <v>41</v>
      </c>
      <c r="B31" s="38" t="s">
        <v>22</v>
      </c>
      <c r="C31" s="45"/>
      <c r="D31" s="45"/>
      <c r="E31" s="66"/>
      <c r="F31" s="66"/>
      <c r="G31" s="66"/>
      <c r="H31" s="66"/>
      <c r="I31" s="66"/>
      <c r="J31" s="66"/>
      <c r="K31" s="66"/>
      <c r="L31" s="66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23"/>
      <c r="Y31" s="57"/>
      <c r="Z31" s="52"/>
    </row>
    <row r="32" spans="1:26" ht="0.75" customHeight="1" hidden="1" thickBot="1">
      <c r="A32" s="42" t="s">
        <v>44</v>
      </c>
      <c r="B32" s="39" t="s">
        <v>45</v>
      </c>
      <c r="C32" s="46"/>
      <c r="D32" s="46"/>
      <c r="E32" s="67"/>
      <c r="F32" s="67"/>
      <c r="G32" s="67"/>
      <c r="H32" s="67"/>
      <c r="I32" s="67"/>
      <c r="J32" s="67"/>
      <c r="K32" s="67"/>
      <c r="L32" s="6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8">
        <f>SUM(X28-X30)</f>
        <v>-2282.1860000000015</v>
      </c>
      <c r="Y32" s="58"/>
      <c r="Z32" s="53"/>
    </row>
    <row r="33" spans="1:26" ht="24" customHeight="1" hidden="1" thickBot="1">
      <c r="A33" s="61" t="s">
        <v>48</v>
      </c>
      <c r="B33" s="39" t="s">
        <v>23</v>
      </c>
      <c r="C33" s="46"/>
      <c r="D33" s="46"/>
      <c r="E33" s="67"/>
      <c r="F33" s="67"/>
      <c r="G33" s="67"/>
      <c r="H33" s="67"/>
      <c r="I33" s="67"/>
      <c r="J33" s="67"/>
      <c r="K33" s="67"/>
      <c r="L33" s="6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8">
        <f>SUM(X29-X30)</f>
        <v>1024.4440000000213</v>
      </c>
      <c r="Y33" s="58"/>
      <c r="Z33" s="53"/>
    </row>
    <row r="34" spans="3:26" ht="2.25" customHeight="1" hidden="1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6"/>
    </row>
    <row r="35" ht="12.75" hidden="1"/>
    <row r="36" ht="2.25" customHeight="1" hidden="1"/>
    <row r="37" ht="12.75" hidden="1"/>
    <row r="38" ht="12.75" hidden="1"/>
    <row r="39" ht="12.75">
      <c r="B39" t="s">
        <v>64</v>
      </c>
    </row>
    <row r="43" ht="12.75" customHeight="1"/>
    <row r="44" ht="12.75" customHeight="1"/>
  </sheetData>
  <sheetProtection/>
  <mergeCells count="5">
    <mergeCell ref="B4:Z4"/>
    <mergeCell ref="B5:Z5"/>
    <mergeCell ref="B3:Z3"/>
    <mergeCell ref="B1:O1"/>
    <mergeCell ref="B2:X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2021-02-04T11:46:23Z</cp:lastPrinted>
  <dcterms:created xsi:type="dcterms:W3CDTF">2011-06-16T11:06:26Z</dcterms:created>
  <dcterms:modified xsi:type="dcterms:W3CDTF">2021-02-04T11:46:49Z</dcterms:modified>
  <cp:category/>
  <cp:version/>
  <cp:contentType/>
  <cp:contentStatus/>
</cp:coreProperties>
</file>