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<sst xmlns="http://schemas.openxmlformats.org/spreadsheetml/2006/main" count="82" uniqueCount="82">
  <si>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</si>
  <si>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</si>
  <si>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</si>
  <si>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</si>
  <si>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</si>
  <si>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</si>
  <si>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</si>
  <si>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</si>
  <si>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</si>
  <si>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</si>
  <si>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</si>
  <si>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</si>
  <si>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</si>
  <si>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</si>
  <si>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</si>
  <si>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</si>
  <si>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</si>
  <si>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</si>
  <si>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</si>
  <si>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</si>
  <si>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</si>
  <si>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</si>
  <si>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</si>
  <si>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</si>
  <si>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</si>
  <si>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</si>
  <si>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</si>
  <si>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</si>
  <si>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</si>
  <si>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</si>
  <si>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</si>
  <si>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</si>
  <si>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</si>
  <si>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</si>
  <si>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</si>
  <si>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</si>
  <si>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</si>
  <si>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</si>
  <si>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</si>
  <si>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</si>
  <si>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</si>
  <si>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</si>
  <si>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</si>
  <si>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Ленина д.6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</si>
  <si>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</si>
  <si>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</si>
  <si>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</si>
  <si>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</si>
  <si>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</si>
  <si>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11</t>
  </si>
  <si>
    <t>Проверка дымовых каналов</t>
  </si>
  <si>
    <t>Результат за месяц</t>
  </si>
  <si>
    <t>Итого за 2012 г</t>
  </si>
  <si>
    <t>Благоустройство территории</t>
  </si>
  <si>
    <t>4.12</t>
  </si>
  <si>
    <t>4.13</t>
  </si>
  <si>
    <t>4.14</t>
  </si>
  <si>
    <t>Итого за 2013 г</t>
  </si>
  <si>
    <t>Итого за 2014 г</t>
  </si>
  <si>
    <t>рентабельность 5%</t>
  </si>
  <si>
    <t xml:space="preserve">Материалы </t>
  </si>
  <si>
    <t>Итого за 2015 г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</si>
  <si>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</si>
  <si>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</si>
  <si>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</si>
  <si>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Л.С../</t>
  </si>
  <si>
    <t>Итого за 2016 г</t>
  </si>
  <si>
    <t>Итого за 2017 г</t>
  </si>
  <si>
    <t>Начислено   СОИД</t>
  </si>
  <si>
    <t>Электроэнергия 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</si>
  <si>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</si>
  <si>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</si>
  <si>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</si>
  <si>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Транспортные(ГСМ,зап.части,амортизация,страхование)</t>
  </si>
  <si>
    <t>Итого за 2018 г</t>
  </si>
  <si>
    <t>Итого за 2019 г</t>
  </si>
  <si>
    <t>Дом по ул.Ленина д.6 вступил в ООО "Наш дом" с ноября 2009 года     тариф 9,2 руб с января 2019 года тариф 8,6 руб.</t>
  </si>
  <si>
    <t>ООО "НД УНЕЧА"</t>
  </si>
  <si>
    <t>Итого за 2020 г</t>
  </si>
  <si>
    <t>Всего за 2009-2020</t>
  </si>
  <si>
    <t>Прочие доходы</t>
  </si>
  <si>
    <t>Утилизация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</si>
</sst>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3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3" xfId="0" applyFont="1" applyBorder="1" applyAlignment="1">
      <alignment/>
    </xf>
    <xf numFmtId="0" fontId="21" fillId="0" borderId="28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0" fontId="25" fillId="0" borderId="43" xfId="0" applyFont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8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36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51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7" xfId="0" applyFont="1" applyBorder="1" applyAlignment="1">
      <alignment/>
    </xf>
    <xf numFmtId="0" fontId="22" fillId="0" borderId="0" xfId="0" applyFont="1" applyAlignment="1">
      <alignment/>
    </xf>
    <xf numFmtId="0" fontId="27" fillId="0" borderId="43" xfId="0" applyFont="1" applyBorder="1" applyAlignment="1">
      <alignment wrapText="1"/>
    </xf>
    <xf numFmtId="0" fontId="27" fillId="0" borderId="52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7" fillId="0" borderId="52" xfId="0" applyFont="1" applyBorder="1" applyAlignment="1">
      <alignment/>
    </xf>
    <xf numFmtId="0" fontId="27" fillId="0" borderId="51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4" fillId="0" borderId="4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1" fillId="0" borderId="49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7">
      <selection activeCell="P29" sqref="P29"/>
    </sheetView>
  </sheetViews>
  <sheetFormatPr defaultColWidth="9.00390625" defaultRowHeight="12.75"/>
  <cols>
    <col min="1" max="1" width="3.625" style="27" customWidth="1"/>
    <col min="2" max="2" width="19.75390625" style="0" customWidth="1"/>
    <col min="3" max="3" width="6.875" style="0" hidden="1" customWidth="1"/>
    <col min="4" max="4" width="7.375" style="0" hidden="1" customWidth="1"/>
    <col min="5" max="5" width="7.625" style="0" hidden="1" customWidth="1"/>
    <col min="6" max="6" width="10.125" style="0" hidden="1" customWidth="1"/>
    <col min="7" max="7" width="9.875" style="0" hidden="1" customWidth="1"/>
    <col min="8" max="8" width="10.00390625" style="0" hidden="1" customWidth="1"/>
    <col min="9" max="9" width="10.125" style="0" hidden="1" customWidth="1"/>
    <col min="10" max="10" width="10.00390625" style="0" hidden="1" customWidth="1"/>
    <col min="11" max="11" width="9.875" style="0" hidden="1" customWidth="1"/>
    <col min="12" max="12" width="0.12890625" style="0" hidden="1" customWidth="1"/>
    <col min="13" max="13" width="8.25390625" style="0" hidden="1" customWidth="1"/>
    <col min="14" max="15" width="8.375" style="0" customWidth="1"/>
    <col min="16" max="16" width="8.00390625" style="0" customWidth="1"/>
    <col min="17" max="17" width="8.375" style="0" customWidth="1"/>
    <col min="18" max="18" width="8.25390625" style="0" customWidth="1"/>
    <col min="19" max="20" width="8.625" style="0" customWidth="1"/>
    <col min="21" max="21" width="8.25390625" style="0" customWidth="1"/>
    <col min="22" max="22" width="8.75390625" style="0" customWidth="1"/>
    <col min="23" max="23" width="8.625" style="0" customWidth="1"/>
    <col min="24" max="24" width="8.375" style="0" customWidth="1"/>
    <col min="25" max="25" width="8.75390625" style="0" customWidth="1"/>
    <col min="27" max="27" width="9.875" style="0" customWidth="1"/>
  </cols>
  <sheetData>
    <row r="1" spans="2:32" ht="12.75" customHeight="1">
      <c r="B1" s="111" t="s">
        <v>77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11" t="s">
        <v>76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2"/>
      <c r="Y2" s="112"/>
      <c r="Z2" s="112"/>
      <c r="AA2" s="4"/>
      <c r="AB2" s="4"/>
      <c r="AC2" s="4"/>
      <c r="AD2" s="4"/>
      <c r="AE2" s="4"/>
      <c r="AF2" s="4"/>
    </row>
    <row r="3" spans="2:32" ht="12.75" customHeight="1">
      <c r="B3" s="110" t="s">
        <v>0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"/>
      <c r="AC3" s="3"/>
      <c r="AD3" s="3"/>
      <c r="AE3" s="3"/>
      <c r="AF3" s="3"/>
    </row>
    <row r="4" spans="2:32" ht="15.75" customHeight="1">
      <c r="B4" s="109" t="s">
        <v>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2"/>
      <c r="AC4" s="2"/>
      <c r="AD4" s="2"/>
      <c r="AE4" s="2"/>
      <c r="AF4" s="2"/>
    </row>
    <row r="5" spans="2:32" ht="16.5" customHeight="1" thickBot="1">
      <c r="B5" s="109" t="s">
        <v>43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2"/>
      <c r="AC5" s="2"/>
      <c r="AD5" s="2"/>
      <c r="AE5" s="2"/>
      <c r="AF5" s="2"/>
    </row>
    <row r="6" spans="1:32" ht="24.75" customHeight="1" thickBot="1">
      <c r="A6" s="36" t="s">
        <v>25</v>
      </c>
      <c r="B6" s="28" t="s">
        <v>5</v>
      </c>
      <c r="C6" s="39" t="s">
        <v>44</v>
      </c>
      <c r="D6" s="43" t="s">
        <v>45</v>
      </c>
      <c r="E6" s="58" t="s">
        <v>48</v>
      </c>
      <c r="F6" s="58" t="s">
        <v>52</v>
      </c>
      <c r="G6" s="58" t="s">
        <v>57</v>
      </c>
      <c r="H6" s="58" t="s">
        <v>58</v>
      </c>
      <c r="I6" s="58" t="s">
        <v>61</v>
      </c>
      <c r="J6" s="58" t="s">
        <v>66</v>
      </c>
      <c r="K6" s="58" t="s">
        <v>67</v>
      </c>
      <c r="L6" s="58" t="s">
        <v>74</v>
      </c>
      <c r="M6" s="58" t="s">
        <v>75</v>
      </c>
      <c r="N6" s="6" t="s">
        <v>9</v>
      </c>
      <c r="O6" s="5" t="s">
        <v>10</v>
      </c>
      <c r="P6" s="5" t="s">
        <v>11</v>
      </c>
      <c r="Q6" s="5" t="s">
        <v>12</v>
      </c>
      <c r="R6" s="5" t="s">
        <v>13</v>
      </c>
      <c r="S6" s="5" t="s">
        <v>14</v>
      </c>
      <c r="T6" s="5" t="s">
        <v>15</v>
      </c>
      <c r="U6" s="5" t="s">
        <v>16</v>
      </c>
      <c r="V6" s="5" t="s">
        <v>17</v>
      </c>
      <c r="W6" s="5" t="s">
        <v>18</v>
      </c>
      <c r="X6" s="5" t="s">
        <v>20</v>
      </c>
      <c r="Y6" s="15" t="s">
        <v>19</v>
      </c>
      <c r="Z6" s="58" t="s">
        <v>78</v>
      </c>
      <c r="AA6" s="53" t="s">
        <v>79</v>
      </c>
      <c r="AB6" s="1"/>
      <c r="AC6" s="1"/>
      <c r="AD6" s="1"/>
      <c r="AE6" s="1"/>
      <c r="AF6" s="1"/>
    </row>
    <row r="7" spans="1:27" ht="13.5" thickBot="1">
      <c r="A7" s="37" t="s">
        <v>26</v>
      </c>
      <c r="B7" s="29" t="s">
        <v>1</v>
      </c>
      <c r="C7" s="70">
        <v>10138.4</v>
      </c>
      <c r="D7" s="71">
        <v>60830.4</v>
      </c>
      <c r="E7" s="72">
        <v>60710.8</v>
      </c>
      <c r="F7" s="71">
        <v>60449.52</v>
      </c>
      <c r="G7" s="71">
        <v>60214.92</v>
      </c>
      <c r="H7" s="85">
        <v>60179.04</v>
      </c>
      <c r="I7" s="71">
        <v>60179.04</v>
      </c>
      <c r="J7" s="71">
        <v>60179.04</v>
      </c>
      <c r="K7" s="71">
        <v>60179.04</v>
      </c>
      <c r="L7" s="71">
        <v>60179.04</v>
      </c>
      <c r="M7" s="71">
        <v>56254.32</v>
      </c>
      <c r="N7" s="7">
        <v>4687.86</v>
      </c>
      <c r="O7" s="7">
        <v>4680.12</v>
      </c>
      <c r="P7" s="7">
        <v>4680.12</v>
      </c>
      <c r="Q7" s="7">
        <v>4680.12</v>
      </c>
      <c r="R7" s="7">
        <v>4680.12</v>
      </c>
      <c r="S7" s="7">
        <v>4680.12</v>
      </c>
      <c r="T7" s="7">
        <v>4680.12</v>
      </c>
      <c r="U7" s="7">
        <v>4680.12</v>
      </c>
      <c r="V7" s="7">
        <v>4680.12</v>
      </c>
      <c r="W7" s="7">
        <v>4680.12</v>
      </c>
      <c r="X7" s="7">
        <v>4680.12</v>
      </c>
      <c r="Y7" s="7">
        <v>4680.12</v>
      </c>
      <c r="Z7" s="59">
        <f>SUM(N7:Y7)</f>
        <v>56169.18000000001</v>
      </c>
      <c r="AA7" s="63">
        <f>SUM(C7:Y7)</f>
        <v>665662.7399999998</v>
      </c>
    </row>
    <row r="8" spans="1:27" ht="13.5" thickBot="1">
      <c r="A8" s="37"/>
      <c r="B8" s="29" t="s">
        <v>68</v>
      </c>
      <c r="C8" s="70"/>
      <c r="D8" s="85"/>
      <c r="E8" s="72"/>
      <c r="F8" s="85"/>
      <c r="G8" s="85"/>
      <c r="H8" s="85"/>
      <c r="I8" s="85"/>
      <c r="J8" s="85">
        <v>0</v>
      </c>
      <c r="K8" s="85">
        <v>3200.11</v>
      </c>
      <c r="L8" s="85">
        <v>2035.03</v>
      </c>
      <c r="M8" s="85">
        <v>649.08</v>
      </c>
      <c r="N8" s="7">
        <f aca="true" t="shared" si="0" ref="N8:S8">28.33+27.41</f>
        <v>55.739999999999995</v>
      </c>
      <c r="O8" s="7">
        <f t="shared" si="0"/>
        <v>55.739999999999995</v>
      </c>
      <c r="P8" s="7">
        <f t="shared" si="0"/>
        <v>55.739999999999995</v>
      </c>
      <c r="Q8" s="7">
        <f t="shared" si="0"/>
        <v>55.739999999999995</v>
      </c>
      <c r="R8" s="7">
        <f t="shared" si="0"/>
        <v>55.739999999999995</v>
      </c>
      <c r="S8" s="7">
        <f t="shared" si="0"/>
        <v>55.739999999999995</v>
      </c>
      <c r="T8" s="8">
        <f aca="true" t="shared" si="1" ref="T8:Y8">29.47+27.48</f>
        <v>56.95</v>
      </c>
      <c r="U8" s="8">
        <f t="shared" si="1"/>
        <v>56.95</v>
      </c>
      <c r="V8" s="8">
        <f t="shared" si="1"/>
        <v>56.95</v>
      </c>
      <c r="W8" s="8">
        <f t="shared" si="1"/>
        <v>56.95</v>
      </c>
      <c r="X8" s="8">
        <f t="shared" si="1"/>
        <v>56.95</v>
      </c>
      <c r="Y8" s="8">
        <f t="shared" si="1"/>
        <v>56.95</v>
      </c>
      <c r="Z8" s="59">
        <f>SUM(N8:Y8)</f>
        <v>676.1400000000001</v>
      </c>
      <c r="AA8" s="63">
        <f>SUM(C8:Y8)</f>
        <v>6560.359999999998</v>
      </c>
    </row>
    <row r="9" spans="1:27" ht="13.5" thickBot="1">
      <c r="A9" s="37"/>
      <c r="B9" s="105" t="s">
        <v>80</v>
      </c>
      <c r="C9" s="106"/>
      <c r="D9" s="107"/>
      <c r="E9" s="106"/>
      <c r="F9" s="107"/>
      <c r="G9" s="107"/>
      <c r="H9" s="107"/>
      <c r="I9" s="107"/>
      <c r="J9" s="107"/>
      <c r="K9" s="107"/>
      <c r="L9" s="107"/>
      <c r="M9" s="107"/>
      <c r="N9" s="108">
        <v>400</v>
      </c>
      <c r="O9" s="108">
        <v>400</v>
      </c>
      <c r="P9" s="108">
        <v>400</v>
      </c>
      <c r="Q9" s="108">
        <v>400</v>
      </c>
      <c r="R9" s="108">
        <v>400</v>
      </c>
      <c r="S9" s="108">
        <v>400</v>
      </c>
      <c r="T9" s="108">
        <v>400</v>
      </c>
      <c r="U9" s="108">
        <v>400</v>
      </c>
      <c r="V9" s="108">
        <v>400</v>
      </c>
      <c r="W9" s="108">
        <v>400</v>
      </c>
      <c r="X9" s="108">
        <v>400</v>
      </c>
      <c r="Y9" s="108">
        <v>400</v>
      </c>
      <c r="Z9" s="59">
        <f>SUM(N9:Y9)</f>
        <v>4800</v>
      </c>
      <c r="AA9" s="63">
        <f>SUM(C9:Y9)</f>
        <v>4800</v>
      </c>
    </row>
    <row r="10" spans="1:27" s="95" customFormat="1" ht="13.5" thickBot="1">
      <c r="A10" s="89" t="s">
        <v>27</v>
      </c>
      <c r="B10" s="90" t="s">
        <v>2</v>
      </c>
      <c r="C10" s="91">
        <v>5371.85</v>
      </c>
      <c r="D10" s="92">
        <f aca="true" t="shared" si="2" ref="D10:N10">SUM(D11:D25)</f>
        <v>51449.52999999999</v>
      </c>
      <c r="E10" s="91">
        <f t="shared" si="2"/>
        <v>84261.52</v>
      </c>
      <c r="F10" s="92">
        <f t="shared" si="2"/>
        <v>48708.96000000001</v>
      </c>
      <c r="G10" s="92">
        <f t="shared" si="2"/>
        <v>65740.89</v>
      </c>
      <c r="H10" s="92">
        <f t="shared" si="2"/>
        <v>52035.020000000004</v>
      </c>
      <c r="I10" s="92">
        <f>SUM(I11:I25)</f>
        <v>50988.25</v>
      </c>
      <c r="J10" s="92">
        <f>SUM(J11:J25)</f>
        <v>55777.1</v>
      </c>
      <c r="K10" s="92">
        <f>SUM(K11:K25)</f>
        <v>57357.05</v>
      </c>
      <c r="L10" s="92">
        <f t="shared" si="2"/>
        <v>65686</v>
      </c>
      <c r="M10" s="92">
        <f t="shared" si="2"/>
        <v>53946.23</v>
      </c>
      <c r="N10" s="93">
        <f t="shared" si="2"/>
        <v>4361.44</v>
      </c>
      <c r="O10" s="93">
        <f aca="true" t="shared" si="3" ref="O10:Y10">SUM(O11:O25)</f>
        <v>3974.68</v>
      </c>
      <c r="P10" s="93">
        <f t="shared" si="3"/>
        <v>4072.11</v>
      </c>
      <c r="Q10" s="93">
        <f t="shared" si="3"/>
        <v>3953.3700000000003</v>
      </c>
      <c r="R10" s="93">
        <f t="shared" si="3"/>
        <v>4055.91</v>
      </c>
      <c r="S10" s="93">
        <f t="shared" si="3"/>
        <v>6149.79</v>
      </c>
      <c r="T10" s="93">
        <f t="shared" si="3"/>
        <v>4496.670000000001</v>
      </c>
      <c r="U10" s="93">
        <f t="shared" si="3"/>
        <v>4491.74</v>
      </c>
      <c r="V10" s="93">
        <f t="shared" si="3"/>
        <v>4688.45</v>
      </c>
      <c r="W10" s="93">
        <f t="shared" si="3"/>
        <v>4887.69</v>
      </c>
      <c r="X10" s="93">
        <f t="shared" si="3"/>
        <v>5083.34</v>
      </c>
      <c r="Y10" s="91">
        <f t="shared" si="3"/>
        <v>5258.27</v>
      </c>
      <c r="Z10" s="92">
        <f>SUM(N10:Y10)</f>
        <v>55473.46000000001</v>
      </c>
      <c r="AA10" s="94">
        <f>SUM(C10:Y10)</f>
        <v>646795.8599999999</v>
      </c>
    </row>
    <row r="11" spans="1:27" ht="13.5" thickBot="1">
      <c r="A11" s="37" t="s">
        <v>28</v>
      </c>
      <c r="B11" s="31" t="s">
        <v>81</v>
      </c>
      <c r="C11" s="47"/>
      <c r="D11" s="48">
        <v>12324.6</v>
      </c>
      <c r="E11" s="73">
        <v>8878.64</v>
      </c>
      <c r="F11" s="48">
        <v>8188.1</v>
      </c>
      <c r="G11" s="48">
        <v>13377.04</v>
      </c>
      <c r="H11" s="48">
        <v>12283.27</v>
      </c>
      <c r="I11" s="48">
        <v>11229.85</v>
      </c>
      <c r="J11" s="48">
        <v>10706.58</v>
      </c>
      <c r="K11" s="48">
        <v>11052.93</v>
      </c>
      <c r="L11" s="48">
        <v>11477.11</v>
      </c>
      <c r="M11" s="48">
        <v>111.83</v>
      </c>
      <c r="N11" s="7"/>
      <c r="O11" s="8">
        <v>7.29</v>
      </c>
      <c r="P11" s="8">
        <v>8.48</v>
      </c>
      <c r="Q11" s="8">
        <v>9.51</v>
      </c>
      <c r="R11" s="8">
        <v>15.23</v>
      </c>
      <c r="S11" s="8">
        <v>11.21</v>
      </c>
      <c r="T11" s="8">
        <v>17.77</v>
      </c>
      <c r="U11" s="8">
        <v>18.4</v>
      </c>
      <c r="V11" s="8">
        <v>43.68</v>
      </c>
      <c r="W11" s="8">
        <v>18.73</v>
      </c>
      <c r="X11" s="8">
        <v>1.39</v>
      </c>
      <c r="Y11" s="16">
        <v>1.85</v>
      </c>
      <c r="Z11" s="60">
        <f aca="true" t="shared" si="4" ref="Z11:Z27">SUM(N11:Y11)</f>
        <v>153.54</v>
      </c>
      <c r="AA11" s="26">
        <f aca="true" t="shared" si="5" ref="AA11:AA25">SUM(C11:Y11)</f>
        <v>99783.48999999999</v>
      </c>
    </row>
    <row r="12" spans="1:27" ht="15" customHeight="1" thickBot="1">
      <c r="A12" s="37" t="s">
        <v>29</v>
      </c>
      <c r="B12" s="32" t="s">
        <v>62</v>
      </c>
      <c r="C12" s="49"/>
      <c r="D12" s="50">
        <v>15102</v>
      </c>
      <c r="E12" s="74">
        <v>5545.13</v>
      </c>
      <c r="F12" s="50">
        <v>95.26</v>
      </c>
      <c r="G12" s="50">
        <v>2867.92</v>
      </c>
      <c r="H12" s="50">
        <v>1626.63</v>
      </c>
      <c r="I12" s="50">
        <v>2254.61</v>
      </c>
      <c r="J12" s="50">
        <v>27.36</v>
      </c>
      <c r="K12" s="50">
        <v>220.45</v>
      </c>
      <c r="L12" s="50">
        <v>824</v>
      </c>
      <c r="M12" s="50">
        <v>4400</v>
      </c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60">
        <f t="shared" si="4"/>
        <v>0</v>
      </c>
      <c r="AA12" s="26">
        <f t="shared" si="5"/>
        <v>32963.36</v>
      </c>
    </row>
    <row r="13" spans="1:27" ht="16.5" customHeight="1" thickBot="1">
      <c r="A13" s="37" t="s">
        <v>30</v>
      </c>
      <c r="B13" s="30" t="s">
        <v>4</v>
      </c>
      <c r="C13" s="49"/>
      <c r="D13" s="50">
        <v>1082.12</v>
      </c>
      <c r="E13" s="74">
        <v>0</v>
      </c>
      <c r="F13" s="50">
        <v>0</v>
      </c>
      <c r="G13" s="50">
        <v>3354.74</v>
      </c>
      <c r="H13" s="50"/>
      <c r="I13" s="50">
        <v>0</v>
      </c>
      <c r="J13" s="50">
        <v>3798.5</v>
      </c>
      <c r="K13" s="50">
        <v>0</v>
      </c>
      <c r="L13" s="50">
        <v>5491.95</v>
      </c>
      <c r="M13" s="50">
        <v>1985.5</v>
      </c>
      <c r="N13" s="9"/>
      <c r="O13" s="10"/>
      <c r="P13" s="10"/>
      <c r="Q13" s="10"/>
      <c r="R13" s="10"/>
      <c r="S13" s="10">
        <v>2084</v>
      </c>
      <c r="T13" s="10"/>
      <c r="U13" s="10"/>
      <c r="V13" s="10"/>
      <c r="W13" s="10"/>
      <c r="X13" s="10"/>
      <c r="Y13" s="17"/>
      <c r="Z13" s="60">
        <f t="shared" si="4"/>
        <v>2084</v>
      </c>
      <c r="AA13" s="26">
        <f t="shared" si="5"/>
        <v>17796.81</v>
      </c>
    </row>
    <row r="14" spans="1:27" ht="23.25" customHeight="1" thickBot="1">
      <c r="A14" s="37" t="s">
        <v>31</v>
      </c>
      <c r="B14" s="30" t="s">
        <v>50</v>
      </c>
      <c r="C14" s="49">
        <v>0</v>
      </c>
      <c r="D14" s="50">
        <v>0</v>
      </c>
      <c r="E14" s="74">
        <v>690.41</v>
      </c>
      <c r="F14" s="50">
        <v>0</v>
      </c>
      <c r="G14" s="50">
        <v>0</v>
      </c>
      <c r="H14" s="50"/>
      <c r="I14" s="50">
        <v>1000</v>
      </c>
      <c r="J14" s="50">
        <v>400</v>
      </c>
      <c r="K14" s="50">
        <v>500</v>
      </c>
      <c r="L14" s="50">
        <v>500</v>
      </c>
      <c r="M14" s="50">
        <v>0</v>
      </c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60">
        <f t="shared" si="4"/>
        <v>0</v>
      </c>
      <c r="AA14" s="26">
        <f t="shared" si="5"/>
        <v>3090.41</v>
      </c>
    </row>
    <row r="15" spans="1:27" ht="14.25" customHeight="1" thickBot="1">
      <c r="A15" s="37" t="s">
        <v>32</v>
      </c>
      <c r="B15" s="32" t="s">
        <v>60</v>
      </c>
      <c r="C15" s="49"/>
      <c r="D15" s="50">
        <v>2132.3</v>
      </c>
      <c r="E15" s="74">
        <v>33065.38</v>
      </c>
      <c r="F15" s="50">
        <v>1484.18</v>
      </c>
      <c r="G15" s="50">
        <v>6968.08</v>
      </c>
      <c r="H15" s="50">
        <v>115.61</v>
      </c>
      <c r="I15" s="50">
        <v>748.69</v>
      </c>
      <c r="J15" s="50">
        <v>1056.17</v>
      </c>
      <c r="K15" s="50">
        <v>647</v>
      </c>
      <c r="L15" s="50">
        <v>5691.49</v>
      </c>
      <c r="M15" s="50">
        <v>785</v>
      </c>
      <c r="N15" s="9"/>
      <c r="O15" s="10"/>
      <c r="P15" s="10"/>
      <c r="Q15" s="10"/>
      <c r="R15" s="10"/>
      <c r="S15" s="10">
        <v>45</v>
      </c>
      <c r="T15" s="10"/>
      <c r="U15" s="10"/>
      <c r="V15" s="10"/>
      <c r="W15" s="10"/>
      <c r="X15" s="10"/>
      <c r="Y15" s="17"/>
      <c r="Z15" s="60">
        <f t="shared" si="4"/>
        <v>45</v>
      </c>
      <c r="AA15" s="26">
        <f t="shared" si="5"/>
        <v>52738.9</v>
      </c>
    </row>
    <row r="16" spans="1:27" ht="21" customHeight="1" thickBot="1">
      <c r="A16" s="37" t="s">
        <v>33</v>
      </c>
      <c r="B16" s="32" t="s">
        <v>53</v>
      </c>
      <c r="C16" s="49">
        <v>0</v>
      </c>
      <c r="D16" s="50">
        <v>0</v>
      </c>
      <c r="E16" s="74">
        <v>0</v>
      </c>
      <c r="F16" s="50">
        <v>256</v>
      </c>
      <c r="G16" s="50">
        <v>0</v>
      </c>
      <c r="H16" s="50">
        <v>7.76</v>
      </c>
      <c r="I16" s="50">
        <v>2052.96</v>
      </c>
      <c r="J16" s="50">
        <v>186</v>
      </c>
      <c r="K16" s="50">
        <v>49.62</v>
      </c>
      <c r="L16" s="50">
        <v>14</v>
      </c>
      <c r="M16" s="50">
        <v>215.21</v>
      </c>
      <c r="N16" s="9">
        <v>80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60">
        <f>SUM(N16:Y16)</f>
        <v>80</v>
      </c>
      <c r="AA16" s="26">
        <f>SUM(C16:Y16)</f>
        <v>2861.55</v>
      </c>
    </row>
    <row r="17" spans="1:27" ht="12" customHeight="1" thickBot="1">
      <c r="A17" s="37" t="s">
        <v>34</v>
      </c>
      <c r="B17" s="32" t="s">
        <v>69</v>
      </c>
      <c r="C17" s="49"/>
      <c r="D17" s="50">
        <v>2664.21</v>
      </c>
      <c r="E17" s="74">
        <v>2926.93</v>
      </c>
      <c r="F17" s="50">
        <v>1657.55</v>
      </c>
      <c r="G17" s="50">
        <v>0</v>
      </c>
      <c r="H17" s="50"/>
      <c r="I17" s="50">
        <v>0</v>
      </c>
      <c r="J17" s="50">
        <v>0</v>
      </c>
      <c r="K17" s="50">
        <v>2768.99</v>
      </c>
      <c r="L17" s="50">
        <v>1408.15</v>
      </c>
      <c r="M17" s="50">
        <v>0</v>
      </c>
      <c r="N17" s="9"/>
      <c r="O17" s="9"/>
      <c r="P17" s="9"/>
      <c r="Q17" s="9"/>
      <c r="R17" s="9"/>
      <c r="S17" s="9"/>
      <c r="T17" s="10"/>
      <c r="U17" s="10"/>
      <c r="V17" s="10"/>
      <c r="W17" s="10"/>
      <c r="X17" s="10"/>
      <c r="Y17" s="17"/>
      <c r="Z17" s="60">
        <f t="shared" si="4"/>
        <v>0</v>
      </c>
      <c r="AA17" s="26">
        <f t="shared" si="5"/>
        <v>11425.83</v>
      </c>
    </row>
    <row r="18" spans="1:27" ht="12" customHeight="1" thickBot="1">
      <c r="A18" s="37"/>
      <c r="B18" s="32" t="s">
        <v>70</v>
      </c>
      <c r="C18" s="49"/>
      <c r="D18" s="50"/>
      <c r="E18" s="74"/>
      <c r="F18" s="50"/>
      <c r="G18" s="50"/>
      <c r="H18" s="50"/>
      <c r="I18" s="50"/>
      <c r="J18" s="50"/>
      <c r="K18" s="50">
        <v>263.87</v>
      </c>
      <c r="L18" s="50">
        <v>332.7</v>
      </c>
      <c r="M18" s="50">
        <v>336.78</v>
      </c>
      <c r="N18" s="9">
        <v>28.32</v>
      </c>
      <c r="O18" s="9">
        <v>28.32</v>
      </c>
      <c r="P18" s="9">
        <v>28.32</v>
      </c>
      <c r="Q18" s="9">
        <v>28.32</v>
      </c>
      <c r="R18" s="9">
        <v>28.32</v>
      </c>
      <c r="S18" s="9">
        <v>28.32</v>
      </c>
      <c r="T18" s="9">
        <v>29.47</v>
      </c>
      <c r="U18" s="9">
        <v>29.47</v>
      </c>
      <c r="V18" s="9">
        <v>29.47</v>
      </c>
      <c r="W18" s="9">
        <v>29.47</v>
      </c>
      <c r="X18" s="9">
        <v>29.47</v>
      </c>
      <c r="Y18" s="9">
        <v>29.47</v>
      </c>
      <c r="Z18" s="60">
        <f>SUM(N18:Y18)</f>
        <v>346.74</v>
      </c>
      <c r="AA18" s="26">
        <f>SUM(C18:Y18)</f>
        <v>1280.0900000000001</v>
      </c>
    </row>
    <row r="19" spans="1:27" ht="12.75" customHeight="1" thickBot="1">
      <c r="A19" s="37"/>
      <c r="B19" s="32" t="s">
        <v>71</v>
      </c>
      <c r="C19" s="49"/>
      <c r="D19" s="50"/>
      <c r="E19" s="74"/>
      <c r="F19" s="50"/>
      <c r="G19" s="50"/>
      <c r="H19" s="50"/>
      <c r="I19" s="50"/>
      <c r="J19" s="50"/>
      <c r="K19" s="50">
        <v>170.3</v>
      </c>
      <c r="L19" s="50">
        <v>294.18</v>
      </c>
      <c r="M19" s="50">
        <v>309.29</v>
      </c>
      <c r="N19" s="9">
        <v>27.39</v>
      </c>
      <c r="O19" s="9">
        <v>27.39</v>
      </c>
      <c r="P19" s="9">
        <v>27.39</v>
      </c>
      <c r="Q19" s="9">
        <v>27.39</v>
      </c>
      <c r="R19" s="9">
        <v>27.39</v>
      </c>
      <c r="S19" s="9">
        <v>27.39</v>
      </c>
      <c r="T19" s="9">
        <v>27.47</v>
      </c>
      <c r="U19" s="9">
        <v>27.47</v>
      </c>
      <c r="V19" s="9">
        <v>27.47</v>
      </c>
      <c r="W19" s="9">
        <v>27.47</v>
      </c>
      <c r="X19" s="9">
        <v>27.47</v>
      </c>
      <c r="Y19" s="9">
        <v>27.47</v>
      </c>
      <c r="Z19" s="60">
        <f>SUM(N19:Y19)</f>
        <v>329.15999999999997</v>
      </c>
      <c r="AA19" s="26">
        <f>SUM(C19:Y19)</f>
        <v>1102.93</v>
      </c>
    </row>
    <row r="20" spans="1:27" ht="15.75" customHeight="1" thickBot="1">
      <c r="A20" s="37" t="s">
        <v>35</v>
      </c>
      <c r="B20" s="32" t="s">
        <v>72</v>
      </c>
      <c r="C20" s="49"/>
      <c r="D20" s="50">
        <v>706.68</v>
      </c>
      <c r="E20" s="74">
        <v>388.73</v>
      </c>
      <c r="F20" s="50">
        <v>339</v>
      </c>
      <c r="G20" s="50">
        <v>295.24</v>
      </c>
      <c r="H20" s="50"/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60">
        <f t="shared" si="4"/>
        <v>0</v>
      </c>
      <c r="AA20" s="26">
        <f t="shared" si="5"/>
        <v>1729.6499999999999</v>
      </c>
    </row>
    <row r="21" spans="1:27" ht="36" customHeight="1" thickBot="1">
      <c r="A21" s="37" t="s">
        <v>36</v>
      </c>
      <c r="B21" s="32" t="s">
        <v>73</v>
      </c>
      <c r="C21" s="49"/>
      <c r="D21" s="50">
        <v>750.42</v>
      </c>
      <c r="E21" s="74">
        <v>2668.26</v>
      </c>
      <c r="F21" s="50">
        <v>3350.95</v>
      </c>
      <c r="G21" s="50">
        <v>3393.51</v>
      </c>
      <c r="H21" s="50">
        <v>2221.2</v>
      </c>
      <c r="I21" s="50">
        <v>2619.75</v>
      </c>
      <c r="J21" s="50">
        <v>2770.3</v>
      </c>
      <c r="K21" s="50">
        <v>2814.51</v>
      </c>
      <c r="L21" s="50">
        <v>2957.7</v>
      </c>
      <c r="M21" s="50">
        <v>2394.28</v>
      </c>
      <c r="N21" s="9">
        <v>175.84</v>
      </c>
      <c r="O21" s="10">
        <v>157.37</v>
      </c>
      <c r="P21" s="10">
        <v>195.64</v>
      </c>
      <c r="Q21" s="10">
        <v>152.95</v>
      </c>
      <c r="R21" s="10">
        <v>158.25</v>
      </c>
      <c r="S21" s="10">
        <v>159.73</v>
      </c>
      <c r="T21" s="10">
        <v>184.74</v>
      </c>
      <c r="U21" s="10">
        <v>230.23</v>
      </c>
      <c r="V21" s="10">
        <v>220.93</v>
      </c>
      <c r="W21" s="10">
        <v>256.78</v>
      </c>
      <c r="X21" s="10">
        <v>238.82</v>
      </c>
      <c r="Y21" s="17">
        <v>218.01</v>
      </c>
      <c r="Z21" s="60">
        <f t="shared" si="4"/>
        <v>2349.29</v>
      </c>
      <c r="AA21" s="26">
        <f t="shared" si="5"/>
        <v>28290.17</v>
      </c>
    </row>
    <row r="22" spans="1:27" ht="26.25" customHeight="1" thickBot="1">
      <c r="A22" s="37" t="s">
        <v>37</v>
      </c>
      <c r="B22" s="32" t="s">
        <v>63</v>
      </c>
      <c r="C22" s="49"/>
      <c r="D22" s="50">
        <v>1306.42</v>
      </c>
      <c r="E22" s="74">
        <v>1454.33</v>
      </c>
      <c r="F22" s="50">
        <v>434.11</v>
      </c>
      <c r="G22" s="50">
        <v>307.37</v>
      </c>
      <c r="H22" s="50">
        <v>668.17</v>
      </c>
      <c r="I22" s="50">
        <v>451.49</v>
      </c>
      <c r="J22" s="50">
        <v>394.09</v>
      </c>
      <c r="K22" s="50">
        <v>307.87</v>
      </c>
      <c r="L22" s="50">
        <v>298.37</v>
      </c>
      <c r="M22" s="50">
        <v>271.11</v>
      </c>
      <c r="N22" s="9">
        <v>10.1</v>
      </c>
      <c r="O22" s="10">
        <v>14.28</v>
      </c>
      <c r="P22" s="10">
        <v>13.68</v>
      </c>
      <c r="Q22" s="10">
        <v>13.67</v>
      </c>
      <c r="R22" s="10">
        <v>13.33</v>
      </c>
      <c r="S22" s="10">
        <v>11.65</v>
      </c>
      <c r="T22" s="10">
        <v>26.27</v>
      </c>
      <c r="U22" s="10">
        <v>13.63</v>
      </c>
      <c r="V22" s="10">
        <v>8.33</v>
      </c>
      <c r="W22" s="10">
        <v>25.15</v>
      </c>
      <c r="X22" s="10">
        <v>10.81</v>
      </c>
      <c r="Y22" s="17">
        <v>29.45</v>
      </c>
      <c r="Z22" s="60">
        <f t="shared" si="4"/>
        <v>190.35</v>
      </c>
      <c r="AA22" s="26">
        <f t="shared" si="5"/>
        <v>6083.679999999999</v>
      </c>
    </row>
    <row r="23" spans="1:27" ht="34.5" customHeight="1" thickBot="1">
      <c r="A23" s="37" t="s">
        <v>54</v>
      </c>
      <c r="B23" s="32" t="s">
        <v>64</v>
      </c>
      <c r="C23" s="49"/>
      <c r="D23" s="50">
        <v>1088.95</v>
      </c>
      <c r="E23" s="74">
        <v>2291.09</v>
      </c>
      <c r="F23" s="50">
        <v>2256.63</v>
      </c>
      <c r="G23" s="50">
        <v>3015.46</v>
      </c>
      <c r="H23" s="50">
        <v>2590.95</v>
      </c>
      <c r="I23" s="50">
        <v>3324.38</v>
      </c>
      <c r="J23" s="50">
        <v>2882.7</v>
      </c>
      <c r="K23" s="50">
        <v>3036.41</v>
      </c>
      <c r="L23" s="50">
        <v>3326.1</v>
      </c>
      <c r="M23" s="50">
        <v>3616.61</v>
      </c>
      <c r="N23" s="9">
        <f>7.18+94.61+154.27</f>
        <v>256.06</v>
      </c>
      <c r="O23" s="10">
        <f>7.44+110.95+165.24</f>
        <v>283.63</v>
      </c>
      <c r="P23" s="10">
        <f>7.1+100.09+169.39</f>
        <v>276.58</v>
      </c>
      <c r="Q23" s="10">
        <f>8.81+117.74+158.14</f>
        <v>284.69</v>
      </c>
      <c r="R23" s="10">
        <f>7.42+147.13+156.97</f>
        <v>311.52</v>
      </c>
      <c r="S23" s="10">
        <f>7.2+124.2+148.05</f>
        <v>279.45000000000005</v>
      </c>
      <c r="T23" s="10">
        <f>7.78+101.36+150.2</f>
        <v>259.34</v>
      </c>
      <c r="U23" s="10">
        <f>145.76+7.36+102.21</f>
        <v>255.32999999999998</v>
      </c>
      <c r="V23" s="10">
        <f>131.75+255.08</f>
        <v>386.83000000000004</v>
      </c>
      <c r="W23" s="10">
        <f>7.75+220.01+219.05</f>
        <v>446.81</v>
      </c>
      <c r="X23" s="10">
        <f>8.52+176.69+210.88</f>
        <v>396.09000000000003</v>
      </c>
      <c r="Y23" s="17">
        <f>9.62+245.49+193.48</f>
        <v>448.59000000000003</v>
      </c>
      <c r="Z23" s="60">
        <f t="shared" si="4"/>
        <v>3884.92</v>
      </c>
      <c r="AA23" s="26">
        <f t="shared" si="5"/>
        <v>31314.20000000001</v>
      </c>
    </row>
    <row r="24" spans="1:27" ht="15.75" customHeight="1" thickBot="1">
      <c r="A24" s="37" t="s">
        <v>55</v>
      </c>
      <c r="B24" s="32" t="s">
        <v>7</v>
      </c>
      <c r="C24" s="49"/>
      <c r="D24" s="50">
        <v>12145.72</v>
      </c>
      <c r="E24" s="74">
        <v>22566.37</v>
      </c>
      <c r="F24" s="50">
        <v>28345.52</v>
      </c>
      <c r="G24" s="50">
        <v>29795.14</v>
      </c>
      <c r="H24" s="50">
        <v>30380.81</v>
      </c>
      <c r="I24" s="50">
        <v>25326.8</v>
      </c>
      <c r="J24" s="50">
        <v>31586.55</v>
      </c>
      <c r="K24" s="50">
        <v>32985.99</v>
      </c>
      <c r="L24" s="50">
        <v>30853.45</v>
      </c>
      <c r="M24" s="50">
        <v>37579.39</v>
      </c>
      <c r="N24" s="9">
        <f>4361.44-732.9</f>
        <v>3628.5399999999995</v>
      </c>
      <c r="O24" s="10">
        <f>3974.68-673.47</f>
        <v>3301.21</v>
      </c>
      <c r="P24" s="10">
        <f>4072.11-704.99</f>
        <v>3367.12</v>
      </c>
      <c r="Q24" s="10">
        <f>3953.37-671.43</f>
        <v>3281.94</v>
      </c>
      <c r="R24" s="10">
        <f>4055.91-708.94</f>
        <v>3346.97</v>
      </c>
      <c r="S24" s="10">
        <f>6149.79-2791.33</f>
        <v>3358.46</v>
      </c>
      <c r="T24" s="10">
        <f>4496.67-710.28</f>
        <v>3786.3900000000003</v>
      </c>
      <c r="U24" s="10">
        <f>4491.74-729.43</f>
        <v>3762.31</v>
      </c>
      <c r="V24" s="10">
        <f>4688.45-869.18</f>
        <v>3819.27</v>
      </c>
      <c r="W24" s="10">
        <f>4887.69-961.82</f>
        <v>3925.8699999999994</v>
      </c>
      <c r="X24" s="10">
        <f>5083.34-858.99</f>
        <v>4224.35</v>
      </c>
      <c r="Y24" s="17">
        <f>5258.27-909.78</f>
        <v>4348.490000000001</v>
      </c>
      <c r="Z24" s="60">
        <f t="shared" si="4"/>
        <v>44150.92</v>
      </c>
      <c r="AA24" s="26">
        <f t="shared" si="5"/>
        <v>325716.66</v>
      </c>
    </row>
    <row r="25" spans="1:27" ht="13.5" customHeight="1" thickBot="1">
      <c r="A25" s="37" t="s">
        <v>56</v>
      </c>
      <c r="B25" s="33" t="s">
        <v>3</v>
      </c>
      <c r="C25" s="51"/>
      <c r="D25" s="52">
        <v>2146.11</v>
      </c>
      <c r="E25" s="75">
        <v>3786.25</v>
      </c>
      <c r="F25" s="52">
        <v>2301.66</v>
      </c>
      <c r="G25" s="52">
        <v>2366.39</v>
      </c>
      <c r="H25" s="52">
        <v>2140.62</v>
      </c>
      <c r="I25" s="52">
        <v>1979.72</v>
      </c>
      <c r="J25" s="52">
        <v>1968.85</v>
      </c>
      <c r="K25" s="52">
        <v>2539.11</v>
      </c>
      <c r="L25" s="52">
        <v>2216.8</v>
      </c>
      <c r="M25" s="52">
        <v>1941.23</v>
      </c>
      <c r="N25" s="11">
        <f>1.82+153.37</f>
        <v>155.19</v>
      </c>
      <c r="O25" s="12">
        <f>1.82+153.37</f>
        <v>155.19</v>
      </c>
      <c r="P25" s="12">
        <f>1.82+153.08</f>
        <v>154.9</v>
      </c>
      <c r="Q25" s="12">
        <f>1.82+153.08</f>
        <v>154.9</v>
      </c>
      <c r="R25" s="12">
        <f>1.82+153.08</f>
        <v>154.9</v>
      </c>
      <c r="S25" s="12">
        <f>1.7+142.88</f>
        <v>144.57999999999998</v>
      </c>
      <c r="T25" s="12">
        <f>1.94+163.28</f>
        <v>165.22</v>
      </c>
      <c r="U25" s="12">
        <f>1.82+153.08</f>
        <v>154.9</v>
      </c>
      <c r="V25" s="12">
        <f>1.83+150.64</f>
        <v>152.47</v>
      </c>
      <c r="W25" s="12">
        <f>1.89+155.52</f>
        <v>157.41</v>
      </c>
      <c r="X25" s="12">
        <f>1.86+153.08</f>
        <v>154.94000000000003</v>
      </c>
      <c r="Y25" s="19">
        <f>1.86+153.08</f>
        <v>154.94000000000003</v>
      </c>
      <c r="Z25" s="60">
        <f t="shared" si="4"/>
        <v>1859.5400000000002</v>
      </c>
      <c r="AA25" s="26">
        <f t="shared" si="5"/>
        <v>25246.280000000002</v>
      </c>
    </row>
    <row r="26" spans="1:27" ht="13.5" customHeight="1" thickBot="1">
      <c r="A26" s="37"/>
      <c r="B26" s="44" t="s">
        <v>59</v>
      </c>
      <c r="C26" s="77"/>
      <c r="D26" s="78"/>
      <c r="E26" s="79"/>
      <c r="F26" s="78"/>
      <c r="G26" s="78"/>
      <c r="H26" s="81">
        <f>H7*5%</f>
        <v>3008.952</v>
      </c>
      <c r="I26" s="81">
        <f>I7*5%</f>
        <v>3008.952</v>
      </c>
      <c r="J26" s="86">
        <f>J7*5%</f>
        <v>3008.952</v>
      </c>
      <c r="K26" s="87">
        <f>K7*5%</f>
        <v>3008.952</v>
      </c>
      <c r="L26" s="87">
        <f>L7*5%</f>
        <v>3008.952</v>
      </c>
      <c r="M26" s="87">
        <f>(M7+M8)*5%</f>
        <v>2845.17</v>
      </c>
      <c r="N26" s="80">
        <f>(N7+N8)*5%</f>
        <v>237.17999999999998</v>
      </c>
      <c r="O26" s="80">
        <f aca="true" t="shared" si="6" ref="O26:Y26">(O7+O8)*5%</f>
        <v>236.793</v>
      </c>
      <c r="P26" s="80">
        <f t="shared" si="6"/>
        <v>236.793</v>
      </c>
      <c r="Q26" s="80">
        <f t="shared" si="6"/>
        <v>236.793</v>
      </c>
      <c r="R26" s="80">
        <f t="shared" si="6"/>
        <v>236.793</v>
      </c>
      <c r="S26" s="80">
        <f t="shared" si="6"/>
        <v>236.793</v>
      </c>
      <c r="T26" s="80">
        <f t="shared" si="6"/>
        <v>236.8535</v>
      </c>
      <c r="U26" s="80">
        <f t="shared" si="6"/>
        <v>236.8535</v>
      </c>
      <c r="V26" s="80">
        <f t="shared" si="6"/>
        <v>236.8535</v>
      </c>
      <c r="W26" s="80">
        <f t="shared" si="6"/>
        <v>236.8535</v>
      </c>
      <c r="X26" s="80">
        <f t="shared" si="6"/>
        <v>236.8535</v>
      </c>
      <c r="Y26" s="80">
        <f t="shared" si="6"/>
        <v>236.8535</v>
      </c>
      <c r="Z26" s="81">
        <f t="shared" si="4"/>
        <v>2842.2660000000005</v>
      </c>
      <c r="AA26" s="69"/>
    </row>
    <row r="27" spans="1:27" ht="14.25" customHeight="1" thickBot="1">
      <c r="A27" s="37" t="s">
        <v>38</v>
      </c>
      <c r="B27" s="66" t="s">
        <v>51</v>
      </c>
      <c r="C27" s="67"/>
      <c r="D27" s="68"/>
      <c r="E27" s="76"/>
      <c r="F27" s="68"/>
      <c r="G27" s="68"/>
      <c r="H27" s="68"/>
      <c r="I27" s="68"/>
      <c r="J27" s="68"/>
      <c r="K27" s="88">
        <f>SUM(K7+K8-K10)-K26</f>
        <v>3013.1479999999983</v>
      </c>
      <c r="L27" s="88">
        <f>SUM(L7+L8-L10)-L26</f>
        <v>-6480.8820000000005</v>
      </c>
      <c r="M27" s="88">
        <f>SUM(M7+M8-M10)-M26</f>
        <v>111.99999999999818</v>
      </c>
      <c r="N27" s="82">
        <f>SUM(N7+N8+N9-N10)-N26</f>
        <v>544.9799999999999</v>
      </c>
      <c r="O27" s="82">
        <f aca="true" t="shared" si="7" ref="O27:Y27">SUM(O7+O8+O9-O10)-O26</f>
        <v>924.3869999999998</v>
      </c>
      <c r="P27" s="82">
        <f t="shared" si="7"/>
        <v>826.9569999999995</v>
      </c>
      <c r="Q27" s="82">
        <f t="shared" si="7"/>
        <v>945.6969999999993</v>
      </c>
      <c r="R27" s="82">
        <f t="shared" si="7"/>
        <v>843.1569999999998</v>
      </c>
      <c r="S27" s="82">
        <f t="shared" si="7"/>
        <v>-1250.7230000000004</v>
      </c>
      <c r="T27" s="82">
        <f t="shared" si="7"/>
        <v>403.54649999999873</v>
      </c>
      <c r="U27" s="82">
        <f t="shared" si="7"/>
        <v>408.47649999999993</v>
      </c>
      <c r="V27" s="82">
        <f t="shared" si="7"/>
        <v>211.7664999999999</v>
      </c>
      <c r="W27" s="82">
        <f t="shared" si="7"/>
        <v>12.526500000000112</v>
      </c>
      <c r="X27" s="82">
        <f t="shared" si="7"/>
        <v>-183.12350000000043</v>
      </c>
      <c r="Y27" s="82">
        <f t="shared" si="7"/>
        <v>-358.0535000000007</v>
      </c>
      <c r="Z27" s="81">
        <f t="shared" si="4"/>
        <v>3329.593999999994</v>
      </c>
      <c r="AA27" s="69"/>
    </row>
    <row r="28" spans="1:27" ht="25.5" customHeight="1" thickBot="1">
      <c r="A28" s="89" t="s">
        <v>39</v>
      </c>
      <c r="B28" s="96" t="s">
        <v>21</v>
      </c>
      <c r="C28" s="97">
        <v>4766.55</v>
      </c>
      <c r="D28" s="98">
        <v>9380.87</v>
      </c>
      <c r="E28" s="99">
        <f>SUM(E7-E10)</f>
        <v>-23550.72</v>
      </c>
      <c r="F28" s="100">
        <f>SUM(F7-F10)</f>
        <v>11740.55999999999</v>
      </c>
      <c r="G28" s="100">
        <f>SUM(G7-G10)</f>
        <v>-5525.970000000001</v>
      </c>
      <c r="H28" s="101">
        <f>SUM(H7-H10)-H26</f>
        <v>5135.067999999997</v>
      </c>
      <c r="I28" s="101">
        <f>SUM(I7-I10)-I26</f>
        <v>6181.838000000001</v>
      </c>
      <c r="J28" s="101">
        <f>SUM(J7-J10)-J26</f>
        <v>1392.988000000002</v>
      </c>
      <c r="K28" s="101">
        <f>SUM(K7+K8-K10)-K26</f>
        <v>3013.1479999999983</v>
      </c>
      <c r="L28" s="101">
        <f>SUM(L7+L8-L10)-L26</f>
        <v>-6480.8820000000005</v>
      </c>
      <c r="M28" s="101">
        <f>SUM(M7+M8-M10)-M26</f>
        <v>111.99999999999818</v>
      </c>
      <c r="N28" s="102">
        <f>SUM(N7+N8+N9-N10)-N26</f>
        <v>544.9799999999999</v>
      </c>
      <c r="O28" s="103">
        <f>SUM(O27+N28)</f>
        <v>1469.3669999999997</v>
      </c>
      <c r="P28" s="103">
        <f aca="true" t="shared" si="8" ref="P28:Y28">SUM(P27+O28)</f>
        <v>2296.323999999999</v>
      </c>
      <c r="Q28" s="103">
        <f t="shared" si="8"/>
        <v>3242.0209999999984</v>
      </c>
      <c r="R28" s="103">
        <f t="shared" si="8"/>
        <v>4085.177999999998</v>
      </c>
      <c r="S28" s="103">
        <f t="shared" si="8"/>
        <v>2834.4549999999977</v>
      </c>
      <c r="T28" s="103">
        <f t="shared" si="8"/>
        <v>3238.001499999996</v>
      </c>
      <c r="U28" s="103">
        <f t="shared" si="8"/>
        <v>3646.477999999996</v>
      </c>
      <c r="V28" s="103">
        <f t="shared" si="8"/>
        <v>3858.2444999999957</v>
      </c>
      <c r="W28" s="103">
        <f t="shared" si="8"/>
        <v>3870.7709999999956</v>
      </c>
      <c r="X28" s="103">
        <f t="shared" si="8"/>
        <v>3687.647499999995</v>
      </c>
      <c r="Y28" s="103">
        <f t="shared" si="8"/>
        <v>3329.593999999994</v>
      </c>
      <c r="Z28" s="100"/>
      <c r="AA28" s="104"/>
    </row>
    <row r="29" spans="1:27" ht="21.75" customHeight="1" thickBot="1">
      <c r="A29" s="37" t="s">
        <v>40</v>
      </c>
      <c r="B29" s="64" t="s">
        <v>22</v>
      </c>
      <c r="C29" s="40">
        <v>4766.55</v>
      </c>
      <c r="D29" s="44">
        <v>14147.42</v>
      </c>
      <c r="E29" s="18">
        <f>SUM(E7-E10,D29)</f>
        <v>-9403.300000000001</v>
      </c>
      <c r="F29" s="60">
        <f>SUM(F7-F10,E29)</f>
        <v>2337.2599999999893</v>
      </c>
      <c r="G29" s="60">
        <f>SUM(G7-G10,F29)</f>
        <v>-3188.710000000012</v>
      </c>
      <c r="H29" s="84">
        <f>SUM(H28+G29)</f>
        <v>1946.3579999999847</v>
      </c>
      <c r="I29" s="84">
        <f>SUM(I28+H29)</f>
        <v>8128.195999999985</v>
      </c>
      <c r="J29" s="84">
        <f>SUM(J28+I29)-0.05</f>
        <v>9521.133999999987</v>
      </c>
      <c r="K29" s="84">
        <f>SUM(K28+J29)-0.05</f>
        <v>12534.231999999985</v>
      </c>
      <c r="L29" s="84">
        <f>SUM(L28+K29)</f>
        <v>6053.349999999985</v>
      </c>
      <c r="M29" s="84">
        <f>SUM(M28+L29)</f>
        <v>6165.349999999983</v>
      </c>
      <c r="N29" s="84">
        <f>SUM(N27+M29)</f>
        <v>6710.329999999983</v>
      </c>
      <c r="O29" s="83">
        <f>SUM(O27+N29)</f>
        <v>7634.716999999982</v>
      </c>
      <c r="P29" s="83">
        <f aca="true" t="shared" si="9" ref="P29:X29">SUM(P27+O29)</f>
        <v>8461.673999999983</v>
      </c>
      <c r="Q29" s="83">
        <f t="shared" si="9"/>
        <v>9407.370999999983</v>
      </c>
      <c r="R29" s="83">
        <f t="shared" si="9"/>
        <v>10250.527999999982</v>
      </c>
      <c r="S29" s="83">
        <f t="shared" si="9"/>
        <v>8999.804999999982</v>
      </c>
      <c r="T29" s="83">
        <f t="shared" si="9"/>
        <v>9403.35149999998</v>
      </c>
      <c r="U29" s="83">
        <f t="shared" si="9"/>
        <v>9811.827999999981</v>
      </c>
      <c r="V29" s="83">
        <f t="shared" si="9"/>
        <v>10023.594499999981</v>
      </c>
      <c r="W29" s="83">
        <f t="shared" si="9"/>
        <v>10036.120999999981</v>
      </c>
      <c r="X29" s="83">
        <f t="shared" si="9"/>
        <v>9852.997499999981</v>
      </c>
      <c r="Y29" s="83">
        <f>SUM(Y27+X29)</f>
        <v>9494.943999999981</v>
      </c>
      <c r="Z29" s="60"/>
      <c r="AA29" s="54"/>
    </row>
    <row r="30" spans="1:27" ht="10.5" customHeight="1" hidden="1" thickBot="1">
      <c r="A30" s="37" t="s">
        <v>41</v>
      </c>
      <c r="B30" s="64" t="s">
        <v>6</v>
      </c>
      <c r="C30" s="41"/>
      <c r="D30" s="45"/>
      <c r="E30" s="45"/>
      <c r="F30" s="41"/>
      <c r="G30" s="41"/>
      <c r="H30" s="41"/>
      <c r="I30" s="41"/>
      <c r="J30" s="41"/>
      <c r="K30" s="41"/>
      <c r="L30" s="41"/>
      <c r="M30" s="41"/>
      <c r="N30" s="1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0"/>
      <c r="Z30" s="61"/>
      <c r="AA30" s="55"/>
    </row>
    <row r="31" spans="1:27" ht="15" customHeight="1" hidden="1" thickBot="1">
      <c r="A31" s="38" t="s">
        <v>42</v>
      </c>
      <c r="B31" s="34" t="s">
        <v>23</v>
      </c>
      <c r="C31" s="41"/>
      <c r="D31" s="45"/>
      <c r="E31" s="45"/>
      <c r="F31" s="41"/>
      <c r="G31" s="41"/>
      <c r="H31" s="41"/>
      <c r="I31" s="41"/>
      <c r="J31" s="41"/>
      <c r="K31" s="41"/>
      <c r="L31" s="41"/>
      <c r="M31" s="41"/>
      <c r="N31" s="1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20"/>
      <c r="Z31" s="60"/>
      <c r="AA31" s="56"/>
    </row>
    <row r="32" spans="1:27" ht="1.5" customHeight="1" hidden="1" thickBot="1">
      <c r="A32" s="38" t="s">
        <v>46</v>
      </c>
      <c r="B32" s="35" t="s">
        <v>47</v>
      </c>
      <c r="C32" s="42"/>
      <c r="D32" s="46"/>
      <c r="E32" s="46"/>
      <c r="F32" s="42"/>
      <c r="G32" s="42"/>
      <c r="H32" s="42"/>
      <c r="I32" s="42"/>
      <c r="J32" s="42"/>
      <c r="K32" s="42"/>
      <c r="L32" s="42"/>
      <c r="M32" s="42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5">
        <f>SUM(Y28-Y30)</f>
        <v>3329.593999999994</v>
      </c>
      <c r="Z32" s="62"/>
      <c r="AA32" s="57"/>
    </row>
    <row r="33" spans="1:27" ht="24" customHeight="1" hidden="1" thickBot="1">
      <c r="A33" s="65" t="s">
        <v>49</v>
      </c>
      <c r="B33" s="35" t="s">
        <v>24</v>
      </c>
      <c r="C33" s="42"/>
      <c r="D33" s="46"/>
      <c r="E33" s="46"/>
      <c r="F33" s="42"/>
      <c r="G33" s="42"/>
      <c r="H33" s="42"/>
      <c r="I33" s="42"/>
      <c r="J33" s="42"/>
      <c r="K33" s="42"/>
      <c r="L33" s="42"/>
      <c r="M33" s="42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5">
        <f>SUM(Y29-Y30)</f>
        <v>9494.943999999981</v>
      </c>
      <c r="Z33" s="62"/>
      <c r="AA33" s="57"/>
    </row>
    <row r="34" spans="3:27" ht="7.5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</row>
    <row r="35" ht="14.25" customHeight="1" hidden="1"/>
    <row r="36" ht="0.75" customHeight="1" hidden="1"/>
    <row r="37" ht="12.75" hidden="1"/>
    <row r="38" ht="12.75" hidden="1"/>
    <row r="39" ht="12.75">
      <c r="B39" t="s">
        <v>65</v>
      </c>
    </row>
    <row r="43" ht="12.75" customHeight="1"/>
    <row r="44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2021-02-04T11:57:42Z</cp:lastPrinted>
  <dcterms:created xsi:type="dcterms:W3CDTF">2011-06-16T11:06:26Z</dcterms:created>
  <dcterms:modified xsi:type="dcterms:W3CDTF">2021-02-24T12:14:39Z</dcterms:modified>
  <cp:category/>
  <cp:version/>
  <cp:contentType/>
  <cp:contentStatus/>
</cp:coreProperties>
</file>