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<sst xmlns="http://schemas.openxmlformats.org/spreadsheetml/2006/main" count="81" uniqueCount="78">
  <si>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</si>
  <si>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</si>
  <si>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</si>
  <si>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</si>
  <si>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</si>
  <si>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</si>
  <si>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</si>
  <si>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</si>
  <si>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</si>
  <si>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</si>
  <si>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</si>
  <si>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</si>
  <si>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</si>
  <si>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</si>
  <si>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</si>
  <si>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</si>
  <si>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</si>
  <si>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</si>
  <si>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</si>
  <si>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</si>
  <si>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</si>
  <si>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</si>
  <si>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№</t>
  </si>
  <si>
    <t>1</t>
  </si>
  <si>
    <t>4</t>
  </si>
  <si>
    <t>4.1</t>
  </si>
  <si>
    <t>4.2</t>
  </si>
  <si>
    <t>4.3</t>
  </si>
  <si>
    <t>4.5</t>
  </si>
  <si>
    <t>4.7</t>
  </si>
  <si>
    <t>4.8</t>
  </si>
  <si>
    <t>4.9</t>
  </si>
  <si>
    <t>4.11</t>
  </si>
  <si>
    <t>6</t>
  </si>
  <si>
    <t>7</t>
  </si>
  <si>
    <t>8</t>
  </si>
  <si>
    <t>9</t>
  </si>
  <si>
    <t>10</t>
  </si>
  <si>
    <t>Благоустройство  территории</t>
  </si>
  <si>
    <t>11</t>
  </si>
  <si>
    <t>Результат за месяц</t>
  </si>
  <si>
    <t>Исполнитель /Викторова Л.С/</t>
  </si>
  <si>
    <t>4,12</t>
  </si>
  <si>
    <t>4.13</t>
  </si>
  <si>
    <t xml:space="preserve">Материалы </t>
  </si>
  <si>
    <t>5</t>
  </si>
  <si>
    <t>рентабельность 5%</t>
  </si>
  <si>
    <t>Итого за 2015</t>
  </si>
  <si>
    <t>Услуги сторонних орган.</t>
  </si>
  <si>
    <t>4.4</t>
  </si>
  <si>
    <t>Проверка вент.каналов</t>
  </si>
  <si>
    <t xml:space="preserve">Расходы на управление,аренда, связь </t>
  </si>
  <si>
    <t xml:space="preserve">Исполнитель вед.экономист Викторова Л.С. </t>
  </si>
  <si>
    <t xml:space="preserve">Услуги агентские,охрана труда,отопление, хол.вода, эл.энегрия   </t>
  </si>
  <si>
    <t>Итого за 2016</t>
  </si>
  <si>
    <t>68189,56</t>
  </si>
  <si>
    <t>4.6</t>
  </si>
  <si>
    <t>Дератизация</t>
  </si>
  <si>
    <t>116863,51</t>
  </si>
  <si>
    <t>Итого за 2017</t>
  </si>
  <si>
    <t>Начислено  СОИД</t>
  </si>
  <si>
    <t>Электроэнергия СОИД</t>
  </si>
  <si>
    <t>Горячая вода СОИД</t>
  </si>
  <si>
    <t>Холодная вода СОИД</t>
  </si>
  <si>
    <t>Канализация СОИД</t>
  </si>
  <si>
    <t>Транспортные(ГСМ,зап.части,амортизация,страхование )</t>
  </si>
  <si>
    <t>115240,84</t>
  </si>
  <si>
    <t>Итого за 2018</t>
  </si>
  <si>
    <t>по жилому дому г. Унеча ул. Луначарского  д.21</t>
  </si>
  <si>
    <t>110606,23</t>
  </si>
  <si>
    <t>Итого за 2019</t>
  </si>
  <si>
    <t>Дом по ул.Луначарского д.21 вступил в ООО "Наш дом" с июня 2015 года     тариф 11,5 руб с января 2019 года тариф 10,7 руб.</t>
  </si>
  <si>
    <t>ООО "НД УНЕЧА"</t>
  </si>
  <si>
    <t>1079,4</t>
  </si>
  <si>
    <t>Итого за 2020</t>
  </si>
  <si>
    <t>Всего за 2015-2020</t>
  </si>
  <si>
    <t>Прочие доходы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</si>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</sst>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0" fontId="21" fillId="0" borderId="28" xfId="0" applyFont="1" applyBorder="1" applyAlignment="1">
      <alignment horizontal="left"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1" fillId="0" borderId="34" xfId="0" applyFont="1" applyBorder="1" applyAlignment="1">
      <alignment wrapText="1"/>
    </xf>
    <xf numFmtId="49" fontId="0" fillId="0" borderId="35" xfId="0" applyNumberFormat="1" applyBorder="1" applyAlignment="1">
      <alignment horizontal="center"/>
    </xf>
    <xf numFmtId="0" fontId="23" fillId="0" borderId="26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5" xfId="0" applyFont="1" applyFill="1" applyBorder="1" applyAlignment="1">
      <alignment/>
    </xf>
    <xf numFmtId="0" fontId="21" fillId="0" borderId="36" xfId="0" applyFont="1" applyBorder="1" applyAlignment="1">
      <alignment wrapText="1"/>
    </xf>
    <xf numFmtId="0" fontId="20" fillId="0" borderId="26" xfId="0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5" fillId="0" borderId="31" xfId="0" applyFont="1" applyBorder="1" applyAlignment="1">
      <alignment/>
    </xf>
    <xf numFmtId="2" fontId="25" fillId="0" borderId="38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36" xfId="0" applyFont="1" applyBorder="1" applyAlignment="1">
      <alignment/>
    </xf>
    <xf numFmtId="2" fontId="20" fillId="0" borderId="26" xfId="0" applyNumberFormat="1" applyFont="1" applyBorder="1" applyAlignment="1">
      <alignment/>
    </xf>
    <xf numFmtId="0" fontId="21" fillId="2" borderId="25" xfId="0" applyFont="1" applyFill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0" borderId="31" xfId="0" applyFont="1" applyBorder="1" applyAlignment="1">
      <alignment/>
    </xf>
    <xf numFmtId="49" fontId="21" fillId="0" borderId="41" xfId="0" applyNumberFormat="1" applyFont="1" applyBorder="1" applyAlignment="1">
      <alignment horizontal="right" wrapText="1"/>
    </xf>
    <xf numFmtId="0" fontId="21" fillId="0" borderId="32" xfId="0" applyFont="1" applyBorder="1" applyAlignment="1">
      <alignment horizontal="right" wrapText="1"/>
    </xf>
    <xf numFmtId="2" fontId="21" fillId="0" borderId="38" xfId="0" applyNumberFormat="1" applyFont="1" applyBorder="1" applyAlignment="1">
      <alignment/>
    </xf>
    <xf numFmtId="0" fontId="21" fillId="0" borderId="42" xfId="0" applyFont="1" applyBorder="1" applyAlignment="1">
      <alignment wrapText="1"/>
    </xf>
    <xf numFmtId="0" fontId="24" fillId="0" borderId="43" xfId="0" applyFont="1" applyBorder="1" applyAlignment="1">
      <alignment wrapText="1"/>
    </xf>
    <xf numFmtId="49" fontId="21" fillId="0" borderId="44" xfId="0" applyNumberFormat="1" applyFont="1" applyBorder="1" applyAlignment="1">
      <alignment horizontal="right" wrapText="1"/>
    </xf>
    <xf numFmtId="0" fontId="21" fillId="0" borderId="45" xfId="0" applyFont="1" applyBorder="1" applyAlignment="1">
      <alignment horizontal="right" wrapText="1"/>
    </xf>
    <xf numFmtId="0" fontId="21" fillId="0" borderId="45" xfId="0" applyFont="1" applyBorder="1" applyAlignment="1">
      <alignment wrapText="1"/>
    </xf>
    <xf numFmtId="0" fontId="21" fillId="0" borderId="46" xfId="0" applyFont="1" applyBorder="1" applyAlignment="1">
      <alignment wrapText="1"/>
    </xf>
    <xf numFmtId="2" fontId="21" fillId="0" borderId="42" xfId="0" applyNumberFormat="1" applyFont="1" applyBorder="1" applyAlignment="1">
      <alignment/>
    </xf>
    <xf numFmtId="0" fontId="21" fillId="0" borderId="47" xfId="0" applyFont="1" applyBorder="1" applyAlignment="1">
      <alignment wrapText="1"/>
    </xf>
    <xf numFmtId="0" fontId="26" fillId="0" borderId="31" xfId="0" applyFont="1" applyBorder="1" applyAlignment="1">
      <alignment wrapText="1"/>
    </xf>
    <xf numFmtId="0" fontId="24" fillId="0" borderId="44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0" fontId="26" fillId="0" borderId="43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2" fontId="21" fillId="0" borderId="48" xfId="0" applyNumberFormat="1" applyFont="1" applyBorder="1" applyAlignment="1">
      <alignment/>
    </xf>
    <xf numFmtId="2" fontId="21" fillId="0" borderId="40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7" fillId="0" borderId="48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31" xfId="0" applyFont="1" applyBorder="1" applyAlignment="1">
      <alignment/>
    </xf>
    <xf numFmtId="0" fontId="22" fillId="0" borderId="0" xfId="0" applyFont="1" applyAlignment="1">
      <alignment/>
    </xf>
    <xf numFmtId="0" fontId="27" fillId="0" borderId="34" xfId="0" applyFont="1" applyBorder="1" applyAlignment="1">
      <alignment wrapText="1"/>
    </xf>
    <xf numFmtId="2" fontId="27" fillId="0" borderId="42" xfId="0" applyNumberFormat="1" applyFont="1" applyBorder="1" applyAlignment="1">
      <alignment/>
    </xf>
    <xf numFmtId="2" fontId="27" fillId="0" borderId="48" xfId="0" applyNumberFormat="1" applyFont="1" applyBorder="1" applyAlignment="1">
      <alignment/>
    </xf>
    <xf numFmtId="2" fontId="27" fillId="0" borderId="34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8" fillId="0" borderId="26" xfId="0" applyNumberFormat="1" applyFont="1" applyBorder="1" applyAlignment="1">
      <alignment/>
    </xf>
    <xf numFmtId="49" fontId="27" fillId="0" borderId="11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0">
      <selection activeCell="B13" sqref="B13"/>
    </sheetView>
  </sheetViews>
  <sheetFormatPr defaultColWidth="9.00390625" defaultRowHeight="12.75"/>
  <cols>
    <col min="1" max="1" width="3.375" style="24" customWidth="1"/>
    <col min="2" max="2" width="20.75390625" style="0" customWidth="1"/>
    <col min="3" max="3" width="10.125" style="0" hidden="1" customWidth="1"/>
    <col min="4" max="4" width="0.12890625" style="0" hidden="1" customWidth="1"/>
    <col min="5" max="5" width="9.00390625" style="0" hidden="1" customWidth="1"/>
    <col min="6" max="6" width="8.125" style="0" hidden="1" customWidth="1"/>
    <col min="7" max="7" width="9.00390625" style="0" hidden="1" customWidth="1"/>
    <col min="8" max="8" width="8.00390625" style="0" customWidth="1"/>
    <col min="9" max="9" width="8.375" style="0" customWidth="1"/>
    <col min="10" max="10" width="8.125" style="0" customWidth="1"/>
    <col min="11" max="11" width="8.25390625" style="0" customWidth="1"/>
    <col min="12" max="12" width="8.625" style="0" customWidth="1"/>
    <col min="13" max="14" width="8.875" style="0" customWidth="1"/>
    <col min="15" max="15" width="8.125" style="0" customWidth="1"/>
    <col min="16" max="16" width="8.75390625" style="0" customWidth="1"/>
    <col min="17" max="17" width="8.375" style="0" customWidth="1"/>
    <col min="18" max="18" width="8.25390625" style="0" customWidth="1"/>
    <col min="19" max="19" width="8.625" style="0" customWidth="1"/>
    <col min="20" max="20" width="9.875" style="0" customWidth="1"/>
    <col min="21" max="21" width="10.375" style="0" hidden="1" customWidth="1"/>
  </cols>
  <sheetData>
    <row r="1" spans="2:26" ht="12.75" customHeight="1">
      <c r="B1" s="96" t="s">
        <v>72</v>
      </c>
      <c r="C1" s="96"/>
      <c r="D1" s="96"/>
      <c r="E1" s="96"/>
      <c r="F1" s="96"/>
      <c r="G1" s="96"/>
      <c r="H1" s="96"/>
      <c r="I1" s="96"/>
      <c r="J1" s="9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 customHeight="1">
      <c r="B2" s="96" t="s">
        <v>71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  <c r="S2" s="97"/>
      <c r="T2" s="97"/>
      <c r="U2" s="4"/>
      <c r="V2" s="4"/>
      <c r="W2" s="4"/>
      <c r="X2" s="4"/>
      <c r="Y2" s="4"/>
      <c r="Z2" s="4"/>
    </row>
    <row r="3" spans="2:26" ht="15.75" customHeight="1"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3"/>
      <c r="W3" s="3"/>
      <c r="X3" s="3"/>
      <c r="Y3" s="3"/>
      <c r="Z3" s="3"/>
    </row>
    <row r="4" spans="2:26" ht="15" customHeight="1">
      <c r="B4" s="94" t="s">
        <v>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2"/>
      <c r="W4" s="2"/>
      <c r="X4" s="2"/>
      <c r="Y4" s="2"/>
      <c r="Z4" s="2"/>
    </row>
    <row r="5" spans="2:26" ht="15.75" customHeight="1" thickBot="1">
      <c r="B5" s="94" t="s">
        <v>68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2"/>
      <c r="W5" s="2"/>
      <c r="X5" s="2"/>
      <c r="Y5" s="2"/>
      <c r="Z5" s="2"/>
    </row>
    <row r="6" spans="2:26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  <c r="Y6" s="2"/>
      <c r="Z6" s="2"/>
    </row>
    <row r="7" spans="1:26" ht="25.5" customHeight="1" thickBot="1">
      <c r="A7" s="32" t="s">
        <v>22</v>
      </c>
      <c r="B7" s="25" t="s">
        <v>5</v>
      </c>
      <c r="C7" s="41" t="s">
        <v>47</v>
      </c>
      <c r="D7" s="41" t="s">
        <v>54</v>
      </c>
      <c r="E7" s="41" t="s">
        <v>59</v>
      </c>
      <c r="F7" s="41" t="s">
        <v>67</v>
      </c>
      <c r="G7" s="41" t="s">
        <v>70</v>
      </c>
      <c r="H7" s="6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19</v>
      </c>
      <c r="S7" s="15" t="s">
        <v>18</v>
      </c>
      <c r="T7" s="41" t="s">
        <v>74</v>
      </c>
      <c r="U7" s="37" t="s">
        <v>75</v>
      </c>
      <c r="V7" s="1"/>
      <c r="W7" s="1"/>
      <c r="X7" s="1"/>
      <c r="Y7" s="1"/>
      <c r="Z7" s="1"/>
    </row>
    <row r="8" spans="1:21" ht="13.5" thickBot="1">
      <c r="A8" s="33" t="s">
        <v>23</v>
      </c>
      <c r="B8" s="26" t="s">
        <v>1</v>
      </c>
      <c r="C8" s="65">
        <v>349394.6</v>
      </c>
      <c r="D8" s="75">
        <v>598554.61</v>
      </c>
      <c r="E8" s="72">
        <v>582951.1</v>
      </c>
      <c r="F8" s="72">
        <v>582784.35</v>
      </c>
      <c r="G8" s="72">
        <v>542194.68</v>
      </c>
      <c r="H8" s="7">
        <v>45182.89</v>
      </c>
      <c r="I8" s="7">
        <v>45182.89</v>
      </c>
      <c r="J8" s="7">
        <v>45182.89</v>
      </c>
      <c r="K8" s="7">
        <v>45182.89</v>
      </c>
      <c r="L8" s="7">
        <v>45182.89</v>
      </c>
      <c r="M8" s="7">
        <v>45182.89</v>
      </c>
      <c r="N8" s="7">
        <v>45182.89</v>
      </c>
      <c r="O8" s="7">
        <v>45182.89</v>
      </c>
      <c r="P8" s="7">
        <v>45182.89</v>
      </c>
      <c r="Q8" s="7">
        <v>45182.89</v>
      </c>
      <c r="R8" s="7">
        <v>45182.89</v>
      </c>
      <c r="S8" s="7">
        <v>45205.36</v>
      </c>
      <c r="T8" s="60">
        <f>SUM(H8:S8)</f>
        <v>542217.1500000001</v>
      </c>
      <c r="U8" s="51">
        <f>SUM(C8:S8)</f>
        <v>3198096.4900000016</v>
      </c>
    </row>
    <row r="9" spans="1:21" ht="13.5" thickBot="1">
      <c r="A9" s="33"/>
      <c r="B9" s="26" t="s">
        <v>60</v>
      </c>
      <c r="C9" s="73"/>
      <c r="D9" s="76"/>
      <c r="E9" s="74">
        <v>56234.51</v>
      </c>
      <c r="F9" s="74">
        <v>40876.2</v>
      </c>
      <c r="G9" s="74">
        <v>13966.8</v>
      </c>
      <c r="H9" s="7">
        <f aca="true" t="shared" si="0" ref="H9:M9">176.63+281.26+731.85</f>
        <v>1189.74</v>
      </c>
      <c r="I9" s="7">
        <f t="shared" si="0"/>
        <v>1189.74</v>
      </c>
      <c r="J9" s="7">
        <f t="shared" si="0"/>
        <v>1189.74</v>
      </c>
      <c r="K9" s="7">
        <f t="shared" si="0"/>
        <v>1189.74</v>
      </c>
      <c r="L9" s="7">
        <f t="shared" si="0"/>
        <v>1189.74</v>
      </c>
      <c r="M9" s="7">
        <f t="shared" si="0"/>
        <v>1189.74</v>
      </c>
      <c r="N9" s="8">
        <f aca="true" t="shared" si="1" ref="N9:S9">183.8+282.14+758.15</f>
        <v>1224.09</v>
      </c>
      <c r="O9" s="8">
        <f t="shared" si="1"/>
        <v>1224.09</v>
      </c>
      <c r="P9" s="8">
        <f t="shared" si="1"/>
        <v>1224.09</v>
      </c>
      <c r="Q9" s="8">
        <f t="shared" si="1"/>
        <v>1224.09</v>
      </c>
      <c r="R9" s="8">
        <f t="shared" si="1"/>
        <v>1224.09</v>
      </c>
      <c r="S9" s="8">
        <f t="shared" si="1"/>
        <v>1224.09</v>
      </c>
      <c r="T9" s="60">
        <f>SUM(H9:S9)</f>
        <v>14482.98</v>
      </c>
      <c r="U9" s="51">
        <f>SUM(C9:S9)</f>
        <v>125560.49</v>
      </c>
    </row>
    <row r="10" spans="1:21" ht="12" customHeight="1" thickBot="1">
      <c r="A10" s="33"/>
      <c r="B10" s="26" t="s">
        <v>76</v>
      </c>
      <c r="C10" s="73"/>
      <c r="D10" s="76"/>
      <c r="E10" s="74">
        <v>16052.8</v>
      </c>
      <c r="F10" s="74">
        <v>15982.86</v>
      </c>
      <c r="G10" s="74">
        <v>15041.58</v>
      </c>
      <c r="H10" s="7">
        <f aca="true" t="shared" si="2" ref="H10:M10">1255.5+400</f>
        <v>1655.5</v>
      </c>
      <c r="I10" s="7">
        <f t="shared" si="2"/>
        <v>1655.5</v>
      </c>
      <c r="J10" s="7">
        <f t="shared" si="2"/>
        <v>1655.5</v>
      </c>
      <c r="K10" s="7">
        <f t="shared" si="2"/>
        <v>1655.5</v>
      </c>
      <c r="L10" s="7">
        <f t="shared" si="2"/>
        <v>1655.5</v>
      </c>
      <c r="M10" s="7">
        <f t="shared" si="2"/>
        <v>1655.5</v>
      </c>
      <c r="N10" s="8">
        <f aca="true" t="shared" si="3" ref="N10:S10">1263+400</f>
        <v>1663</v>
      </c>
      <c r="O10" s="8">
        <f t="shared" si="3"/>
        <v>1663</v>
      </c>
      <c r="P10" s="8">
        <f t="shared" si="3"/>
        <v>1663</v>
      </c>
      <c r="Q10" s="8">
        <f t="shared" si="3"/>
        <v>1663</v>
      </c>
      <c r="R10" s="8">
        <f t="shared" si="3"/>
        <v>1663</v>
      </c>
      <c r="S10" s="8">
        <f t="shared" si="3"/>
        <v>1663</v>
      </c>
      <c r="T10" s="60">
        <f>SUM(H10:S10)</f>
        <v>19911</v>
      </c>
      <c r="U10" s="51">
        <f>SUM(C10:S10)</f>
        <v>66988.23999999999</v>
      </c>
    </row>
    <row r="11" spans="1:21" s="85" customFormat="1" ht="13.5" thickBot="1">
      <c r="A11" s="79" t="s">
        <v>24</v>
      </c>
      <c r="B11" s="80" t="s">
        <v>2</v>
      </c>
      <c r="C11" s="81">
        <v>310327.61</v>
      </c>
      <c r="D11" s="81">
        <v>581346.2</v>
      </c>
      <c r="E11" s="82">
        <v>609163.24</v>
      </c>
      <c r="F11" s="82">
        <v>649529.4</v>
      </c>
      <c r="G11" s="93">
        <f>SUM(G12:G27)+10288.49</f>
        <v>533194.54</v>
      </c>
      <c r="H11" s="83">
        <f aca="true" t="shared" si="4" ref="H11:M11">SUM(H12:H27)</f>
        <v>41892.70999999999</v>
      </c>
      <c r="I11" s="83">
        <f t="shared" si="4"/>
        <v>39512.03</v>
      </c>
      <c r="J11" s="83">
        <f t="shared" si="4"/>
        <v>45829.25</v>
      </c>
      <c r="K11" s="83">
        <f t="shared" si="4"/>
        <v>39857.05</v>
      </c>
      <c r="L11" s="83">
        <f t="shared" si="4"/>
        <v>42804</v>
      </c>
      <c r="M11" s="83">
        <f t="shared" si="4"/>
        <v>42859.75</v>
      </c>
      <c r="N11" s="83">
        <f aca="true" t="shared" si="5" ref="N11:S11">SUM(N12:N27)</f>
        <v>43903.47</v>
      </c>
      <c r="O11" s="83">
        <f t="shared" si="5"/>
        <v>55418.2</v>
      </c>
      <c r="P11" s="83">
        <f t="shared" si="5"/>
        <v>45926.03</v>
      </c>
      <c r="Q11" s="83">
        <f t="shared" si="5"/>
        <v>48534.36</v>
      </c>
      <c r="R11" s="83">
        <f t="shared" si="5"/>
        <v>64614.56</v>
      </c>
      <c r="S11" s="83">
        <f t="shared" si="5"/>
        <v>62683.36</v>
      </c>
      <c r="T11" s="82">
        <f>SUM(H11:S11)</f>
        <v>573834.77</v>
      </c>
      <c r="U11" s="84">
        <f>SUM(C11:S11)</f>
        <v>3257395.7599999993</v>
      </c>
    </row>
    <row r="12" spans="1:21" ht="14.25" customHeight="1" thickBot="1">
      <c r="A12" s="33" t="s">
        <v>25</v>
      </c>
      <c r="B12" s="28" t="s">
        <v>77</v>
      </c>
      <c r="C12" s="66" t="s">
        <v>55</v>
      </c>
      <c r="D12" s="66" t="s">
        <v>58</v>
      </c>
      <c r="E12" s="61" t="s">
        <v>66</v>
      </c>
      <c r="F12" s="61" t="s">
        <v>69</v>
      </c>
      <c r="G12" s="61" t="s">
        <v>73</v>
      </c>
      <c r="H12" s="7"/>
      <c r="I12" s="8">
        <v>68.87</v>
      </c>
      <c r="J12" s="8">
        <v>79.63</v>
      </c>
      <c r="K12" s="8">
        <v>89.27</v>
      </c>
      <c r="L12" s="8">
        <v>142.97</v>
      </c>
      <c r="M12" s="8">
        <v>104.6</v>
      </c>
      <c r="N12" s="8">
        <v>164.86</v>
      </c>
      <c r="O12" s="8">
        <v>165.56</v>
      </c>
      <c r="P12" s="8">
        <v>393.08</v>
      </c>
      <c r="Q12" s="8">
        <v>168.55</v>
      </c>
      <c r="R12" s="8">
        <v>12.55</v>
      </c>
      <c r="S12" s="16">
        <v>16.68</v>
      </c>
      <c r="T12" s="42">
        <f aca="true" t="shared" si="6" ref="T12:T29">SUM(H12:S12)</f>
        <v>1406.62</v>
      </c>
      <c r="U12" s="51">
        <f aca="true" t="shared" si="7" ref="U12:U28">SUM(C12:S12)</f>
        <v>1406.62</v>
      </c>
    </row>
    <row r="13" spans="1:21" ht="15.75" customHeight="1" thickBot="1">
      <c r="A13" s="33" t="s">
        <v>26</v>
      </c>
      <c r="B13" s="29" t="s">
        <v>48</v>
      </c>
      <c r="C13" s="67">
        <v>5740.56</v>
      </c>
      <c r="D13" s="67">
        <v>2307.36</v>
      </c>
      <c r="E13" s="62">
        <v>2000</v>
      </c>
      <c r="F13" s="62">
        <v>7410</v>
      </c>
      <c r="G13" s="62">
        <v>0</v>
      </c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  <c r="T13" s="42">
        <f>SUM(H13:S13)</f>
        <v>0</v>
      </c>
      <c r="U13" s="51">
        <f t="shared" si="7"/>
        <v>17457.92</v>
      </c>
    </row>
    <row r="14" spans="1:21" ht="15.75" customHeight="1" thickBot="1">
      <c r="A14" s="33" t="s">
        <v>27</v>
      </c>
      <c r="B14" s="27" t="s">
        <v>4</v>
      </c>
      <c r="C14" s="67">
        <v>0</v>
      </c>
      <c r="D14" s="67">
        <v>13804</v>
      </c>
      <c r="E14" s="62">
        <v>0</v>
      </c>
      <c r="F14" s="62">
        <v>19722.05</v>
      </c>
      <c r="G14" s="62">
        <v>10255.4</v>
      </c>
      <c r="H14" s="9"/>
      <c r="I14" s="10"/>
      <c r="J14" s="10"/>
      <c r="K14" s="10"/>
      <c r="L14" s="10"/>
      <c r="M14" s="10"/>
      <c r="N14" s="10"/>
      <c r="O14" s="10">
        <v>10722.8</v>
      </c>
      <c r="P14" s="10"/>
      <c r="Q14" s="10"/>
      <c r="R14" s="10"/>
      <c r="S14" s="17"/>
      <c r="T14" s="42">
        <f t="shared" si="6"/>
        <v>10722.8</v>
      </c>
      <c r="U14" s="51">
        <f t="shared" si="7"/>
        <v>54504.25</v>
      </c>
    </row>
    <row r="15" spans="1:21" ht="15" customHeight="1" thickBot="1">
      <c r="A15" s="33" t="s">
        <v>49</v>
      </c>
      <c r="B15" s="27" t="s">
        <v>50</v>
      </c>
      <c r="C15" s="67">
        <v>2400</v>
      </c>
      <c r="D15" s="67">
        <v>0</v>
      </c>
      <c r="E15" s="62">
        <v>3800</v>
      </c>
      <c r="F15" s="62">
        <v>3700</v>
      </c>
      <c r="G15" s="62">
        <v>3000</v>
      </c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7"/>
      <c r="T15" s="42">
        <f>SUM(H15:S15)</f>
        <v>0</v>
      </c>
      <c r="U15" s="51">
        <f t="shared" si="7"/>
        <v>12900</v>
      </c>
    </row>
    <row r="16" spans="1:21" ht="15.75" customHeight="1" thickBot="1">
      <c r="A16" s="33" t="s">
        <v>28</v>
      </c>
      <c r="B16" s="29" t="s">
        <v>44</v>
      </c>
      <c r="C16" s="68">
        <v>9578.26</v>
      </c>
      <c r="D16" s="68">
        <v>44225.33</v>
      </c>
      <c r="E16" s="58">
        <v>16800.72</v>
      </c>
      <c r="F16" s="58">
        <v>31862.76</v>
      </c>
      <c r="G16" s="58">
        <v>44141.83</v>
      </c>
      <c r="H16" s="9">
        <v>235</v>
      </c>
      <c r="I16" s="10">
        <v>60</v>
      </c>
      <c r="J16" s="10">
        <v>3535.5</v>
      </c>
      <c r="K16" s="10">
        <v>217</v>
      </c>
      <c r="L16" s="10">
        <f>1355+250</f>
        <v>1605</v>
      </c>
      <c r="M16" s="10">
        <v>1433.56</v>
      </c>
      <c r="N16" s="10"/>
      <c r="O16" s="10">
        <v>758.62</v>
      </c>
      <c r="P16" s="10">
        <v>377.81</v>
      </c>
      <c r="Q16" s="10">
        <v>1669.55</v>
      </c>
      <c r="R16" s="10">
        <v>15490.13</v>
      </c>
      <c r="S16" s="17">
        <v>9362.88</v>
      </c>
      <c r="T16" s="42">
        <f t="shared" si="6"/>
        <v>34745.049999999996</v>
      </c>
      <c r="U16" s="51">
        <f t="shared" si="7"/>
        <v>181353.94999999998</v>
      </c>
    </row>
    <row r="17" spans="1:21" ht="13.5" customHeight="1" thickBot="1">
      <c r="A17" s="33" t="s">
        <v>56</v>
      </c>
      <c r="B17" s="29" t="s">
        <v>57</v>
      </c>
      <c r="C17" s="68"/>
      <c r="D17" s="68">
        <v>604.26</v>
      </c>
      <c r="E17" s="58">
        <v>489.64</v>
      </c>
      <c r="F17" s="58">
        <v>622.11</v>
      </c>
      <c r="G17" s="58">
        <v>944.29</v>
      </c>
      <c r="H17" s="9"/>
      <c r="I17" s="10"/>
      <c r="J17" s="10">
        <v>404.95</v>
      </c>
      <c r="K17" s="10"/>
      <c r="L17" s="10"/>
      <c r="M17" s="10"/>
      <c r="N17" s="10"/>
      <c r="O17" s="10"/>
      <c r="P17" s="10">
        <v>297.75</v>
      </c>
      <c r="Q17" s="10"/>
      <c r="R17" s="10"/>
      <c r="S17" s="17">
        <v>327.5</v>
      </c>
      <c r="T17" s="42">
        <f>SUM(H17:S17)</f>
        <v>1030.2</v>
      </c>
      <c r="U17" s="51">
        <f>SUM(C17:S17)</f>
        <v>3690.5</v>
      </c>
    </row>
    <row r="18" spans="1:21" ht="14.25" customHeight="1" thickBot="1">
      <c r="A18" s="33"/>
      <c r="B18" s="29" t="s">
        <v>61</v>
      </c>
      <c r="C18" s="68"/>
      <c r="D18" s="68"/>
      <c r="E18" s="58">
        <v>42708.79</v>
      </c>
      <c r="F18" s="58">
        <v>27341.22</v>
      </c>
      <c r="G18" s="58">
        <v>0</v>
      </c>
      <c r="H18" s="9"/>
      <c r="I18" s="9"/>
      <c r="J18" s="9"/>
      <c r="K18" s="9"/>
      <c r="L18" s="9"/>
      <c r="M18" s="9"/>
      <c r="N18" s="10"/>
      <c r="O18" s="10"/>
      <c r="P18" s="10"/>
      <c r="Q18" s="10"/>
      <c r="R18" s="10"/>
      <c r="S18" s="17"/>
      <c r="T18" s="42">
        <f>SUM(H18:S18)</f>
        <v>0</v>
      </c>
      <c r="U18" s="51">
        <f>SUM(C18:S18)</f>
        <v>70050.01000000001</v>
      </c>
    </row>
    <row r="19" spans="1:21" ht="13.5" customHeight="1" thickBot="1">
      <c r="A19" s="33"/>
      <c r="B19" s="29" t="s">
        <v>63</v>
      </c>
      <c r="C19" s="68"/>
      <c r="D19" s="68"/>
      <c r="E19" s="58">
        <v>2051.97</v>
      </c>
      <c r="F19" s="58">
        <v>2125.98</v>
      </c>
      <c r="G19" s="58">
        <v>2152.08</v>
      </c>
      <c r="H19" s="9">
        <v>180.97</v>
      </c>
      <c r="I19" s="9">
        <v>180.97</v>
      </c>
      <c r="J19" s="9">
        <v>180.97</v>
      </c>
      <c r="K19" s="9">
        <v>180.97</v>
      </c>
      <c r="L19" s="9">
        <v>180.97</v>
      </c>
      <c r="M19" s="9">
        <v>180.97</v>
      </c>
      <c r="N19" s="9">
        <v>188.33</v>
      </c>
      <c r="O19" s="9">
        <v>188.33</v>
      </c>
      <c r="P19" s="9">
        <v>188.33</v>
      </c>
      <c r="Q19" s="9">
        <v>188.33</v>
      </c>
      <c r="R19" s="9">
        <v>188.33</v>
      </c>
      <c r="S19" s="9">
        <v>188.33</v>
      </c>
      <c r="T19" s="42">
        <f>SUM(H19:S19)</f>
        <v>2215.7999999999997</v>
      </c>
      <c r="U19" s="51">
        <f>SUM(C19:S19)</f>
        <v>8545.830000000002</v>
      </c>
    </row>
    <row r="20" spans="1:21" ht="13.5" customHeight="1" thickBot="1">
      <c r="A20" s="33"/>
      <c r="B20" s="29" t="s">
        <v>62</v>
      </c>
      <c r="C20" s="68"/>
      <c r="D20" s="68"/>
      <c r="E20" s="58">
        <v>9984.92</v>
      </c>
      <c r="F20" s="58">
        <v>8650.56</v>
      </c>
      <c r="G20" s="58">
        <v>8913.45</v>
      </c>
      <c r="H20" s="9">
        <v>750.2</v>
      </c>
      <c r="I20" s="9">
        <v>750.2</v>
      </c>
      <c r="J20" s="9">
        <v>750.2</v>
      </c>
      <c r="K20" s="9">
        <v>750.2</v>
      </c>
      <c r="L20" s="9">
        <v>750.2</v>
      </c>
      <c r="M20" s="9">
        <v>750.2</v>
      </c>
      <c r="N20" s="9">
        <v>750.85</v>
      </c>
      <c r="O20" s="9">
        <v>777.15</v>
      </c>
      <c r="P20" s="9">
        <v>777.15</v>
      </c>
      <c r="Q20" s="9">
        <v>777.15</v>
      </c>
      <c r="R20" s="9">
        <v>777.15</v>
      </c>
      <c r="S20" s="9">
        <v>777.02</v>
      </c>
      <c r="T20" s="42">
        <f>SUM(H20:S20)</f>
        <v>9137.67</v>
      </c>
      <c r="U20" s="51">
        <f>SUM(C20:S20)</f>
        <v>36686.600000000006</v>
      </c>
    </row>
    <row r="21" spans="1:21" ht="12.75" customHeight="1" thickBot="1">
      <c r="A21" s="33"/>
      <c r="B21" s="29" t="s">
        <v>64</v>
      </c>
      <c r="C21" s="68"/>
      <c r="D21" s="68"/>
      <c r="E21" s="58">
        <v>1792.25</v>
      </c>
      <c r="F21" s="58">
        <v>3096.06</v>
      </c>
      <c r="G21" s="58">
        <v>3255.22</v>
      </c>
      <c r="H21" s="9">
        <v>288.29</v>
      </c>
      <c r="I21" s="9">
        <v>288.29</v>
      </c>
      <c r="J21" s="9">
        <v>288.29</v>
      </c>
      <c r="K21" s="9">
        <v>288.29</v>
      </c>
      <c r="L21" s="9">
        <v>288.29</v>
      </c>
      <c r="M21" s="9">
        <v>288.29</v>
      </c>
      <c r="N21" s="9">
        <v>289.12</v>
      </c>
      <c r="O21" s="9">
        <v>289.12</v>
      </c>
      <c r="P21" s="9">
        <v>289.12</v>
      </c>
      <c r="Q21" s="9">
        <v>289.12</v>
      </c>
      <c r="R21" s="9">
        <v>289.12</v>
      </c>
      <c r="S21" s="9">
        <v>289.12</v>
      </c>
      <c r="T21" s="42">
        <f>SUM(H21:S21)</f>
        <v>3464.4599999999996</v>
      </c>
      <c r="U21" s="51">
        <f>SUM(C21:S21)</f>
        <v>11607.990000000009</v>
      </c>
    </row>
    <row r="22" spans="1:21" ht="21.75" customHeight="1" thickBot="1">
      <c r="A22" s="33" t="s">
        <v>29</v>
      </c>
      <c r="B22" s="29" t="s">
        <v>38</v>
      </c>
      <c r="C22" s="68">
        <v>0</v>
      </c>
      <c r="D22" s="68">
        <v>186</v>
      </c>
      <c r="E22" s="58">
        <v>425.44</v>
      </c>
      <c r="F22" s="58">
        <v>92</v>
      </c>
      <c r="G22" s="58">
        <v>518.28</v>
      </c>
      <c r="H22" s="9">
        <v>120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7"/>
      <c r="T22" s="42">
        <f t="shared" si="6"/>
        <v>120</v>
      </c>
      <c r="U22" s="51">
        <f t="shared" si="7"/>
        <v>1341.72</v>
      </c>
    </row>
    <row r="23" spans="1:21" ht="30.75" customHeight="1" thickBot="1">
      <c r="A23" s="33" t="s">
        <v>30</v>
      </c>
      <c r="B23" s="29" t="s">
        <v>65</v>
      </c>
      <c r="C23" s="68">
        <v>12650.17</v>
      </c>
      <c r="D23" s="68">
        <v>13788.01</v>
      </c>
      <c r="E23" s="58">
        <v>12936.6</v>
      </c>
      <c r="F23" s="58">
        <v>13598.91</v>
      </c>
      <c r="G23" s="58">
        <v>9861.32</v>
      </c>
      <c r="H23" s="9">
        <v>1362.16</v>
      </c>
      <c r="I23" s="10">
        <v>1221.08</v>
      </c>
      <c r="J23" s="10">
        <v>1518.1</v>
      </c>
      <c r="K23" s="10">
        <v>1186.79</v>
      </c>
      <c r="L23" s="10">
        <v>1227.97</v>
      </c>
      <c r="M23" s="10">
        <v>1239.45</v>
      </c>
      <c r="N23" s="10">
        <v>1433.51</v>
      </c>
      <c r="O23" s="10">
        <v>1786.49</v>
      </c>
      <c r="P23" s="10">
        <v>1714.28</v>
      </c>
      <c r="Q23" s="10">
        <v>1992.51</v>
      </c>
      <c r="R23" s="10">
        <v>1853.12</v>
      </c>
      <c r="S23" s="17">
        <v>1692.45</v>
      </c>
      <c r="T23" s="42">
        <f>SUM(M23:S23)</f>
        <v>11711.810000000001</v>
      </c>
      <c r="U23" s="51">
        <f t="shared" si="7"/>
        <v>81062.91999999998</v>
      </c>
    </row>
    <row r="24" spans="1:21" ht="21" customHeight="1" thickBot="1">
      <c r="A24" s="33" t="s">
        <v>31</v>
      </c>
      <c r="B24" s="29" t="s">
        <v>51</v>
      </c>
      <c r="C24" s="68">
        <v>2070.96</v>
      </c>
      <c r="D24" s="68">
        <v>2081.01</v>
      </c>
      <c r="E24" s="58">
        <v>1491.13</v>
      </c>
      <c r="F24" s="58">
        <f>1664.71</f>
        <v>1664.71</v>
      </c>
      <c r="G24" s="58">
        <v>1577.51</v>
      </c>
      <c r="H24" s="9">
        <v>78.22</v>
      </c>
      <c r="I24" s="10">
        <v>110.83</v>
      </c>
      <c r="J24" s="10">
        <v>106.18</v>
      </c>
      <c r="K24" s="10">
        <v>106.08</v>
      </c>
      <c r="L24" s="10">
        <v>103.44</v>
      </c>
      <c r="M24" s="10">
        <v>90.38</v>
      </c>
      <c r="N24" s="10">
        <v>203.85</v>
      </c>
      <c r="O24" s="10">
        <v>105.79</v>
      </c>
      <c r="P24" s="10">
        <v>64.61</v>
      </c>
      <c r="Q24" s="10">
        <v>195.14</v>
      </c>
      <c r="R24" s="10">
        <v>83.89</v>
      </c>
      <c r="S24" s="17">
        <v>228.62</v>
      </c>
      <c r="T24" s="42">
        <f>SUM(M24:S24)</f>
        <v>972.28</v>
      </c>
      <c r="U24" s="51">
        <f t="shared" si="7"/>
        <v>10362.35</v>
      </c>
    </row>
    <row r="25" spans="1:21" ht="33" customHeight="1" thickBot="1">
      <c r="A25" s="33" t="s">
        <v>32</v>
      </c>
      <c r="B25" s="29" t="s">
        <v>53</v>
      </c>
      <c r="C25" s="68">
        <v>14950.68</v>
      </c>
      <c r="D25" s="68">
        <v>22329.91</v>
      </c>
      <c r="E25" s="58">
        <v>23470.97</v>
      </c>
      <c r="F25" s="58">
        <v>25718.34</v>
      </c>
      <c r="G25" s="58">
        <v>28016.61</v>
      </c>
      <c r="H25" s="9">
        <f>55.64+732.9+1195.11</f>
        <v>1983.6499999999999</v>
      </c>
      <c r="I25" s="10">
        <f>57.72+860.95+1282.14</f>
        <v>2200.8100000000004</v>
      </c>
      <c r="J25" s="10">
        <f>55.06+776.67+1314.4</f>
        <v>2146.13</v>
      </c>
      <c r="K25" s="10">
        <f>68.35+913.58+1227.12</f>
        <v>2209.05</v>
      </c>
      <c r="L25" s="10">
        <f>57.55+1141.68+1217.97</f>
        <v>2417.2</v>
      </c>
      <c r="M25" s="10">
        <f>55.86+963.71+1148.75</f>
        <v>2168.32</v>
      </c>
      <c r="N25" s="10">
        <f>60.38+786.5+1164.47</f>
        <v>2011.35</v>
      </c>
      <c r="O25" s="10">
        <f>1131.02+57.08+793.08</f>
        <v>1981.1799999999998</v>
      </c>
      <c r="P25" s="10">
        <f>1022.3+1746.49</f>
        <v>2768.79</v>
      </c>
      <c r="Q25" s="10">
        <f>60.12+1707.17+1699.71</f>
        <v>3467</v>
      </c>
      <c r="R25" s="10">
        <f>66.11+1371.05+1636.29</f>
        <v>3073.45</v>
      </c>
      <c r="S25" s="17">
        <f>74.65+1905.84+1502.08</f>
        <v>3482.5699999999997</v>
      </c>
      <c r="T25" s="42">
        <f t="shared" si="6"/>
        <v>29909.5</v>
      </c>
      <c r="U25" s="51">
        <f t="shared" si="7"/>
        <v>144396.01000000004</v>
      </c>
    </row>
    <row r="26" spans="1:21" ht="14.25" customHeight="1" thickBot="1">
      <c r="A26" s="33" t="s">
        <v>42</v>
      </c>
      <c r="B26" s="29" t="s">
        <v>6</v>
      </c>
      <c r="C26" s="68">
        <v>144860.99</v>
      </c>
      <c r="D26" s="68">
        <v>251336.05</v>
      </c>
      <c r="E26" s="58">
        <v>256312.24</v>
      </c>
      <c r="F26" s="58">
        <v>273817.53</v>
      </c>
      <c r="G26" s="58">
        <v>295654.15</v>
      </c>
      <c r="H26" s="9">
        <f>41892.71-13783.62</f>
        <v>28109.089999999997</v>
      </c>
      <c r="I26" s="10">
        <f>39512.03-13896.45</f>
        <v>25615.579999999998</v>
      </c>
      <c r="J26" s="10">
        <f>45829.25-18893.24</f>
        <v>26936.01</v>
      </c>
      <c r="K26" s="10">
        <f>39857.05-14391.02</f>
        <v>25466.030000000002</v>
      </c>
      <c r="L26" s="10">
        <f>42804-16494.3</f>
        <v>26309.7</v>
      </c>
      <c r="M26" s="10">
        <f>42859.75-16441.88</f>
        <v>26417.87</v>
      </c>
      <c r="N26" s="10">
        <f>43903.47-14522.05</f>
        <v>29381.420000000002</v>
      </c>
      <c r="O26" s="10">
        <f>55418.2-26224.67</f>
        <v>29193.53</v>
      </c>
      <c r="P26" s="10">
        <f>45926.03-14803.12-1254.6</f>
        <v>29868.309999999998</v>
      </c>
      <c r="Q26" s="10">
        <f>48534.36-17654.78</f>
        <v>30879.58</v>
      </c>
      <c r="R26" s="10">
        <f>64614.56-31835.87</f>
        <v>32778.69</v>
      </c>
      <c r="S26" s="17">
        <f>62683.36-26584.61</f>
        <v>36098.75</v>
      </c>
      <c r="T26" s="42">
        <f t="shared" si="6"/>
        <v>347054.56</v>
      </c>
      <c r="U26" s="51">
        <f t="shared" si="7"/>
        <v>1569035.5200000003</v>
      </c>
    </row>
    <row r="27" spans="1:21" ht="13.5" thickBot="1">
      <c r="A27" s="33" t="s">
        <v>43</v>
      </c>
      <c r="B27" s="30" t="s">
        <v>3</v>
      </c>
      <c r="C27" s="69">
        <v>49886.43</v>
      </c>
      <c r="D27" s="69">
        <v>105178.13</v>
      </c>
      <c r="E27" s="59">
        <v>109890.35</v>
      </c>
      <c r="F27" s="59">
        <v>109538.82</v>
      </c>
      <c r="G27" s="59">
        <v>114615.91</v>
      </c>
      <c r="H27" s="11">
        <f>7136.3+42.3+1606.53</f>
        <v>8785.130000000001</v>
      </c>
      <c r="I27" s="12">
        <f>7350.1+42.72+1622.58</f>
        <v>9015.400000000001</v>
      </c>
      <c r="J27" s="12">
        <f>8030.2+47.5+1805.59</f>
        <v>9883.289999999999</v>
      </c>
      <c r="K27" s="12">
        <f>7616.6+44.82+1701.95</f>
        <v>9363.37</v>
      </c>
      <c r="L27" s="12">
        <f>7952.1+46.82+1779.34</f>
        <v>9778.26</v>
      </c>
      <c r="M27" s="12">
        <f>8321.4+47.84+1816.87</f>
        <v>10186.11</v>
      </c>
      <c r="N27" s="12">
        <f>7773.1+43.47+1663.61</f>
        <v>9480.18</v>
      </c>
      <c r="O27" s="12">
        <f>7721.5+45.87+1682.26</f>
        <v>9449.63</v>
      </c>
      <c r="P27" s="12">
        <f>7457.9+45.59+1683.31</f>
        <v>9186.8</v>
      </c>
      <c r="Q27" s="12">
        <f>7271.3+43.15+1592.98</f>
        <v>8907.43</v>
      </c>
      <c r="R27" s="12">
        <f>8241+48.13+1779</f>
        <v>10068.13</v>
      </c>
      <c r="S27" s="18">
        <f>8370.4+48.77+1800.27</f>
        <v>10219.44</v>
      </c>
      <c r="T27" s="42">
        <f t="shared" si="6"/>
        <v>114323.17000000001</v>
      </c>
      <c r="U27" s="51">
        <f t="shared" si="7"/>
        <v>603432.8100000002</v>
      </c>
    </row>
    <row r="28" spans="1:21" ht="15.75" customHeight="1" thickBot="1">
      <c r="A28" s="33" t="s">
        <v>45</v>
      </c>
      <c r="B28" s="35" t="s">
        <v>46</v>
      </c>
      <c r="C28" s="70">
        <f>C8*5%</f>
        <v>17469.73</v>
      </c>
      <c r="D28" s="77">
        <f>D8*5%</f>
        <v>29927.7305</v>
      </c>
      <c r="E28" s="48">
        <f>E8*5%</f>
        <v>29147.555</v>
      </c>
      <c r="F28" s="48">
        <f>F8*5%</f>
        <v>29139.2175</v>
      </c>
      <c r="G28" s="48">
        <f>(G8+G9+G10)*5%</f>
        <v>28560.153000000006</v>
      </c>
      <c r="H28" s="47">
        <f>(H8+H9+H10)*5%</f>
        <v>2401.4065</v>
      </c>
      <c r="I28" s="47">
        <f aca="true" t="shared" si="8" ref="I28:S28">(I8+I9+I10)*5%</f>
        <v>2401.4065</v>
      </c>
      <c r="J28" s="47">
        <f t="shared" si="8"/>
        <v>2401.4065</v>
      </c>
      <c r="K28" s="47">
        <f t="shared" si="8"/>
        <v>2401.4065</v>
      </c>
      <c r="L28" s="47">
        <f t="shared" si="8"/>
        <v>2401.4065</v>
      </c>
      <c r="M28" s="47">
        <f t="shared" si="8"/>
        <v>2401.4065</v>
      </c>
      <c r="N28" s="47">
        <f t="shared" si="8"/>
        <v>2403.499</v>
      </c>
      <c r="O28" s="47">
        <f t="shared" si="8"/>
        <v>2403.499</v>
      </c>
      <c r="P28" s="47">
        <f t="shared" si="8"/>
        <v>2403.499</v>
      </c>
      <c r="Q28" s="47">
        <f t="shared" si="8"/>
        <v>2403.499</v>
      </c>
      <c r="R28" s="47">
        <f t="shared" si="8"/>
        <v>2403.499</v>
      </c>
      <c r="S28" s="47">
        <f t="shared" si="8"/>
        <v>2404.6225</v>
      </c>
      <c r="T28" s="48">
        <f t="shared" si="6"/>
        <v>28830.556500000002</v>
      </c>
      <c r="U28" s="51">
        <f t="shared" si="7"/>
        <v>163074.94250000012</v>
      </c>
    </row>
    <row r="29" spans="1:21" ht="14.25" customHeight="1" thickBot="1">
      <c r="A29" s="33" t="s">
        <v>33</v>
      </c>
      <c r="B29" s="45" t="s">
        <v>40</v>
      </c>
      <c r="C29" s="71"/>
      <c r="D29" s="71"/>
      <c r="E29" s="78">
        <f aca="true" t="shared" si="9" ref="E29:S29">SUM(E8+E9+E10-E11)-E28</f>
        <v>16927.61500000004</v>
      </c>
      <c r="F29" s="78">
        <f>SUM(F8+F9+F10-F11)-F28</f>
        <v>-39025.207500000106</v>
      </c>
      <c r="G29" s="78">
        <f>SUM(G8+G9+G10-G11)-G28</f>
        <v>9448.367000000013</v>
      </c>
      <c r="H29" s="49">
        <f t="shared" si="9"/>
        <v>3734.0135000000055</v>
      </c>
      <c r="I29" s="49">
        <f t="shared" si="9"/>
        <v>6114.6934999999985</v>
      </c>
      <c r="J29" s="49">
        <f t="shared" si="9"/>
        <v>-202.52650000000267</v>
      </c>
      <c r="K29" s="49">
        <f t="shared" si="9"/>
        <v>5769.673499999994</v>
      </c>
      <c r="L29" s="49">
        <f t="shared" si="9"/>
        <v>2822.7234999999973</v>
      </c>
      <c r="M29" s="49">
        <f t="shared" si="9"/>
        <v>2766.9734999999973</v>
      </c>
      <c r="N29" s="49">
        <f t="shared" si="9"/>
        <v>1763.010999999995</v>
      </c>
      <c r="O29" s="49">
        <f t="shared" si="9"/>
        <v>-9751.719000000001</v>
      </c>
      <c r="P29" s="49">
        <f t="shared" si="9"/>
        <v>-259.5490000000027</v>
      </c>
      <c r="Q29" s="49">
        <f t="shared" si="9"/>
        <v>-2867.8790000000045</v>
      </c>
      <c r="R29" s="49">
        <f t="shared" si="9"/>
        <v>-18948.079</v>
      </c>
      <c r="S29" s="49">
        <f t="shared" si="9"/>
        <v>-16995.532500000005</v>
      </c>
      <c r="T29" s="63">
        <f t="shared" si="6"/>
        <v>-26054.19650000003</v>
      </c>
      <c r="U29" s="52"/>
    </row>
    <row r="30" spans="1:21" ht="21.75" customHeight="1" thickBot="1">
      <c r="A30" s="79" t="s">
        <v>34</v>
      </c>
      <c r="B30" s="86" t="s">
        <v>20</v>
      </c>
      <c r="C30" s="87">
        <f>SUM(C8-C11)-C28</f>
        <v>21597.25999999999</v>
      </c>
      <c r="D30" s="88">
        <f>SUM(D8-D11)-D28</f>
        <v>-12719.320499999969</v>
      </c>
      <c r="E30" s="89">
        <f>SUM(E8+E9+E10-E11)-E28</f>
        <v>16927.61500000004</v>
      </c>
      <c r="F30" s="89">
        <f>SUM(F8+F9+F10-F11)-F28</f>
        <v>-39025.207500000106</v>
      </c>
      <c r="G30" s="89">
        <f>SUM(G8+G9+G10-G11)-G28</f>
        <v>9448.367000000013</v>
      </c>
      <c r="H30" s="90">
        <f>SUM(H8+H9+H10-H11)-H28</f>
        <v>3734.0135000000055</v>
      </c>
      <c r="I30" s="91">
        <f>SUM(I29+H30)</f>
        <v>9848.707000000004</v>
      </c>
      <c r="J30" s="91">
        <f>SUM(J29+I30)</f>
        <v>9646.180500000002</v>
      </c>
      <c r="K30" s="91">
        <f>SUM(K29+J30)</f>
        <v>15415.853999999996</v>
      </c>
      <c r="L30" s="91">
        <f>SUM(L29+K30)</f>
        <v>18238.577499999992</v>
      </c>
      <c r="M30" s="91">
        <f aca="true" t="shared" si="10" ref="M30:S30">SUM(M29+L30)</f>
        <v>21005.55099999999</v>
      </c>
      <c r="N30" s="91">
        <f t="shared" si="10"/>
        <v>22768.561999999984</v>
      </c>
      <c r="O30" s="91">
        <f t="shared" si="10"/>
        <v>13016.842999999983</v>
      </c>
      <c r="P30" s="91">
        <f t="shared" si="10"/>
        <v>12757.29399999998</v>
      </c>
      <c r="Q30" s="91">
        <f t="shared" si="10"/>
        <v>9889.414999999975</v>
      </c>
      <c r="R30" s="91">
        <f t="shared" si="10"/>
        <v>-9058.664000000026</v>
      </c>
      <c r="S30" s="91">
        <f t="shared" si="10"/>
        <v>-26054.19650000003</v>
      </c>
      <c r="T30" s="89"/>
      <c r="U30" s="92"/>
    </row>
    <row r="31" spans="1:21" ht="23.25" customHeight="1" hidden="1" thickBot="1">
      <c r="A31" s="33" t="s">
        <v>35</v>
      </c>
      <c r="B31" s="35" t="s">
        <v>21</v>
      </c>
      <c r="C31" s="64">
        <v>21597.26</v>
      </c>
      <c r="D31" s="70">
        <f>SUM(D30+C31)</f>
        <v>8877.93950000003</v>
      </c>
      <c r="E31" s="48">
        <f>SUM(E30+D31)-0.54</f>
        <v>25805.01450000007</v>
      </c>
      <c r="F31" s="48">
        <f>SUM(F30+E31)</f>
        <v>-13220.193000000036</v>
      </c>
      <c r="G31" s="48">
        <f>SUM(G30+F31)</f>
        <v>-3771.8260000000228</v>
      </c>
      <c r="H31" s="48">
        <f>SUM(H30+G31)</f>
        <v>-37.81250000001728</v>
      </c>
      <c r="I31" s="50">
        <f aca="true" t="shared" si="11" ref="I31:S31">SUM(I29+H31)</f>
        <v>6076.880999999981</v>
      </c>
      <c r="J31" s="50">
        <f t="shared" si="11"/>
        <v>5874.3544999999785</v>
      </c>
      <c r="K31" s="50">
        <f t="shared" si="11"/>
        <v>11644.027999999973</v>
      </c>
      <c r="L31" s="50">
        <f t="shared" si="11"/>
        <v>14466.75149999997</v>
      </c>
      <c r="M31" s="50">
        <f t="shared" si="11"/>
        <v>17233.724999999966</v>
      </c>
      <c r="N31" s="50">
        <f t="shared" si="11"/>
        <v>18996.73599999996</v>
      </c>
      <c r="O31" s="50">
        <f t="shared" si="11"/>
        <v>9245.01699999996</v>
      </c>
      <c r="P31" s="50">
        <f>SUM(P29+O31)</f>
        <v>8985.467999999957</v>
      </c>
      <c r="Q31" s="50">
        <f t="shared" si="11"/>
        <v>6117.588999999953</v>
      </c>
      <c r="R31" s="50">
        <f t="shared" si="11"/>
        <v>-12830.490000000049</v>
      </c>
      <c r="S31" s="50">
        <f t="shared" si="11"/>
        <v>-29826.022500000054</v>
      </c>
      <c r="T31" s="42"/>
      <c r="U31" s="56"/>
    </row>
    <row r="32" spans="1:20" ht="17.25" customHeight="1" hidden="1" thickBot="1">
      <c r="A32" s="33" t="s">
        <v>33</v>
      </c>
      <c r="B32" s="13"/>
      <c r="C32" s="13"/>
      <c r="D32" s="13"/>
      <c r="E32" s="13"/>
      <c r="F32" s="13"/>
      <c r="G32" s="13"/>
      <c r="H32" s="14"/>
      <c r="I32" s="14"/>
      <c r="J32" s="14"/>
      <c r="K32" s="14"/>
      <c r="L32" s="53"/>
      <c r="M32" s="53"/>
      <c r="N32" s="53"/>
      <c r="O32" s="53"/>
      <c r="P32" s="53"/>
      <c r="Q32" s="53"/>
      <c r="R32" s="53"/>
      <c r="S32" s="54"/>
      <c r="T32" s="55"/>
    </row>
    <row r="33" spans="1:20" ht="15" customHeight="1" hidden="1" thickBot="1">
      <c r="A33" s="33" t="s">
        <v>34</v>
      </c>
      <c r="B33" s="13"/>
      <c r="C33" s="13"/>
      <c r="D33" s="13"/>
      <c r="E33" s="13"/>
      <c r="F33" s="13"/>
      <c r="G33" s="13"/>
      <c r="H33" s="14"/>
      <c r="I33" s="14"/>
      <c r="J33" s="14"/>
      <c r="K33" s="14"/>
      <c r="L33" s="50"/>
      <c r="M33" s="50"/>
      <c r="N33" s="50"/>
      <c r="O33" s="50"/>
      <c r="P33" s="50"/>
      <c r="Q33" s="50"/>
      <c r="R33" s="50"/>
      <c r="S33" s="42"/>
      <c r="T33" s="46"/>
    </row>
    <row r="34" spans="1:21" ht="20.25" customHeight="1" hidden="1" thickBot="1">
      <c r="A34" s="33" t="s">
        <v>35</v>
      </c>
      <c r="B34" s="31"/>
      <c r="C34" s="57"/>
      <c r="D34" s="57"/>
      <c r="E34" s="57"/>
      <c r="F34" s="57"/>
      <c r="G34" s="57"/>
      <c r="H34" s="22"/>
      <c r="I34" s="22"/>
      <c r="J34" s="22"/>
      <c r="K34" s="22"/>
      <c r="L34" s="22"/>
      <c r="M34" s="14"/>
      <c r="N34" s="14"/>
      <c r="O34" s="14"/>
      <c r="P34" s="14"/>
      <c r="Q34" s="14"/>
      <c r="R34" s="14"/>
      <c r="S34" s="19"/>
      <c r="T34" s="42"/>
      <c r="U34" s="38"/>
    </row>
    <row r="35" spans="1:21" ht="17.25" customHeight="1" hidden="1" thickBot="1">
      <c r="A35" s="34" t="s">
        <v>36</v>
      </c>
      <c r="B35" s="31"/>
      <c r="C35" s="57"/>
      <c r="D35" s="57"/>
      <c r="E35" s="57"/>
      <c r="F35" s="57"/>
      <c r="G35" s="57"/>
      <c r="H35" s="22"/>
      <c r="I35" s="22"/>
      <c r="J35" s="22"/>
      <c r="K35" s="22"/>
      <c r="L35" s="22"/>
      <c r="M35" s="14"/>
      <c r="N35" s="14"/>
      <c r="O35" s="14"/>
      <c r="P35" s="14"/>
      <c r="Q35" s="14"/>
      <c r="R35" s="14"/>
      <c r="S35" s="19"/>
      <c r="T35" s="43"/>
      <c r="U35" s="39"/>
    </row>
    <row r="36" spans="1:21" ht="17.25" customHeight="1" hidden="1" thickBot="1">
      <c r="A36" s="34" t="s">
        <v>37</v>
      </c>
      <c r="H36" s="20"/>
      <c r="I36" s="20"/>
      <c r="J36" s="20"/>
      <c r="K36" s="20"/>
      <c r="L36" s="20"/>
      <c r="M36" s="22"/>
      <c r="N36" s="22"/>
      <c r="O36" s="22"/>
      <c r="P36" s="22"/>
      <c r="Q36" s="22"/>
      <c r="R36" s="22"/>
      <c r="S36" s="23"/>
      <c r="T36" s="44"/>
      <c r="U36" s="40"/>
    </row>
    <row r="37" spans="1:21" ht="16.5" customHeight="1" hidden="1" thickBot="1">
      <c r="A37" s="36" t="s">
        <v>39</v>
      </c>
      <c r="M37" s="22"/>
      <c r="N37" s="22"/>
      <c r="O37" s="22"/>
      <c r="P37" s="22"/>
      <c r="Q37" s="22"/>
      <c r="R37" s="22"/>
      <c r="S37" s="23"/>
      <c r="T37" s="44"/>
      <c r="U37" s="40"/>
    </row>
    <row r="38" spans="2:21" ht="12.75" customHeight="1">
      <c r="B38" t="s">
        <v>52</v>
      </c>
      <c r="M38" s="20"/>
      <c r="N38" s="20"/>
      <c r="O38" s="20"/>
      <c r="P38" s="20"/>
      <c r="Q38" s="20"/>
      <c r="R38" s="20"/>
      <c r="S38" s="20"/>
      <c r="T38" s="20"/>
      <c r="U38" s="21"/>
    </row>
    <row r="40" ht="6" customHeight="1" hidden="1"/>
    <row r="41" ht="12.75" hidden="1">
      <c r="B41" t="s">
        <v>41</v>
      </c>
    </row>
    <row r="42" ht="12.75" hidden="1"/>
    <row r="47" ht="12.75" customHeight="1"/>
    <row r="48" ht="12.75" customHeight="1"/>
  </sheetData>
  <sheetProtection/>
  <mergeCells count="5">
    <mergeCell ref="B4:U4"/>
    <mergeCell ref="B5:U5"/>
    <mergeCell ref="B3:U3"/>
    <mergeCell ref="B1:J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2021-02-05T07:34:50Z</cp:lastPrinted>
  <dcterms:created xsi:type="dcterms:W3CDTF">2011-06-16T11:06:26Z</dcterms:created>
  <dcterms:modified xsi:type="dcterms:W3CDTF">2021-03-11T10:37:09Z</dcterms:modified>
  <cp:category/>
  <cp:version/>
  <cp:contentType/>
  <cp:contentStatus/>
</cp:coreProperties>
</file>