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<sst xmlns="http://schemas.openxmlformats.org/spreadsheetml/2006/main" count="69" uniqueCount="68">
  <si>
    <t>СПРАВКА</t>
  </si>
  <si>
    <t xml:space="preserve">Начислено  </t>
  </si>
  <si>
    <t>Расходы</t>
  </si>
  <si>
    <t>Услуги РИРЦ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</si>
  <si>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</si>
  <si>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</si>
  <si>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</si>
  <si>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</si>
  <si>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</si>
  <si>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</si>
  <si>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</si>
  <si>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</si>
  <si>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</si>
  <si>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</si>
  <si>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</si>
  <si>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</si>
  <si>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</si>
  <si>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</si>
  <si>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</si>
  <si>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</si>
  <si>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</si>
  <si>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</si>
  <si>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</si>
  <si>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</si>
  <si>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</si>
  <si>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</si>
  <si>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</si>
  <si>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</si>
  <si>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</si>
  <si>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4.4</t>
  </si>
  <si>
    <t>4.5</t>
  </si>
  <si>
    <t>4.9</t>
  </si>
  <si>
    <t>4.10</t>
  </si>
  <si>
    <t>4.11</t>
  </si>
  <si>
    <t>5</t>
  </si>
  <si>
    <t>6</t>
  </si>
  <si>
    <t>7</t>
  </si>
  <si>
    <t>8</t>
  </si>
  <si>
    <t>9</t>
  </si>
  <si>
    <t>за 2010 г</t>
  </si>
  <si>
    <t>10</t>
  </si>
  <si>
    <t>Финансовый результат по дому с начала года</t>
  </si>
  <si>
    <t>по жилому дому г. Унеча ул. Мира д.6</t>
  </si>
  <si>
    <t>Итого за 2011 г</t>
  </si>
  <si>
    <t>Результат за месяц</t>
  </si>
  <si>
    <t>Итого за 2012 г</t>
  </si>
  <si>
    <t>Благоустройство территории</t>
  </si>
  <si>
    <t>4.12</t>
  </si>
  <si>
    <t>4.13</t>
  </si>
  <si>
    <t>Итого за 2013 г</t>
  </si>
  <si>
    <t>Итого за 2014 г</t>
  </si>
  <si>
    <t>рентабельность 5%</t>
  </si>
  <si>
    <t>Итого за 2015 г</t>
  </si>
  <si>
    <t>Материалы</t>
  </si>
  <si>
    <t>Услуги сторонних орган.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</si>
  <si>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</si>
  <si>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</si>
  <si>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</si>
  <si>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Исполнитель вед. экономист /Викторова Л.С/</t>
  </si>
  <si>
    <t>Итого за 2016 г</t>
  </si>
  <si>
    <t>Итого за 2017 г</t>
  </si>
  <si>
    <t>Итого за 2018 г</t>
  </si>
  <si>
    <t>Итого за 2019 г</t>
  </si>
  <si>
    <t>Дом по ул. Мира д.6 вступил в ООО "Наш дом" с октября 2010 года      тариф 8,3 руб с января 2019 года тариф 7,8 руб.</t>
  </si>
  <si>
    <t>ООО "НД УНЕЧА"</t>
  </si>
  <si>
    <t>Итого за 2020 г</t>
  </si>
  <si>
    <t>Всего за 2010-2020</t>
  </si>
  <si>
    <t>Утилизация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</si>
</sst>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95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49" fontId="21" fillId="0" borderId="28" xfId="0" applyNumberFormat="1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2" borderId="31" xfId="0" applyFont="1" applyFill="1" applyBorder="1" applyAlignment="1">
      <alignment wrapText="1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23" fillId="0" borderId="35" xfId="0" applyFont="1" applyBorder="1" applyAlignment="1">
      <alignment horizontal="left" vertical="center"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0" fontId="23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>
      <alignment/>
    </xf>
    <xf numFmtId="0" fontId="0" fillId="0" borderId="38" xfId="0" applyBorder="1" applyAlignment="1">
      <alignment/>
    </xf>
    <xf numFmtId="0" fontId="0" fillId="0" borderId="27" xfId="0" applyBorder="1" applyAlignment="1">
      <alignment/>
    </xf>
    <xf numFmtId="0" fontId="0" fillId="2" borderId="27" xfId="0" applyFill="1" applyBorder="1" applyAlignment="1">
      <alignment/>
    </xf>
    <xf numFmtId="0" fontId="19" fillId="0" borderId="35" xfId="0" applyFont="1" applyBorder="1" applyAlignment="1">
      <alignment horizontal="center" vertical="center" wrapText="1"/>
    </xf>
    <xf numFmtId="0" fontId="21" fillId="0" borderId="37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36" xfId="0" applyFont="1" applyBorder="1" applyAlignment="1">
      <alignment/>
    </xf>
    <xf numFmtId="0" fontId="20" fillId="2" borderId="36" xfId="0" applyFont="1" applyFill="1" applyBorder="1" applyAlignment="1">
      <alignment/>
    </xf>
    <xf numFmtId="0" fontId="25" fillId="0" borderId="32" xfId="0" applyFont="1" applyBorder="1" applyAlignment="1">
      <alignment/>
    </xf>
    <xf numFmtId="2" fontId="25" fillId="0" borderId="35" xfId="0" applyNumberFormat="1" applyFont="1" applyBorder="1" applyAlignment="1">
      <alignment/>
    </xf>
    <xf numFmtId="0" fontId="21" fillId="0" borderId="38" xfId="0" applyFont="1" applyBorder="1" applyAlignment="1">
      <alignment wrapText="1"/>
    </xf>
    <xf numFmtId="2" fontId="21" fillId="0" borderId="39" xfId="0" applyNumberFormat="1" applyFont="1" applyBorder="1" applyAlignment="1">
      <alignment horizontal="right" wrapText="1"/>
    </xf>
    <xf numFmtId="2" fontId="25" fillId="0" borderId="40" xfId="0" applyNumberFormat="1" applyFont="1" applyBorder="1" applyAlignment="1">
      <alignment/>
    </xf>
    <xf numFmtId="0" fontId="26" fillId="0" borderId="32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26" fillId="0" borderId="41" xfId="0" applyFont="1" applyBorder="1" applyAlignment="1">
      <alignment wrapText="1"/>
    </xf>
    <xf numFmtId="2" fontId="21" fillId="0" borderId="42" xfId="0" applyNumberFormat="1" applyFont="1" applyBorder="1" applyAlignment="1">
      <alignment horizontal="right"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 horizontal="right" wrapText="1"/>
    </xf>
    <xf numFmtId="0" fontId="21" fillId="0" borderId="46" xfId="0" applyFont="1" applyBorder="1" applyAlignment="1">
      <alignment/>
    </xf>
    <xf numFmtId="2" fontId="21" fillId="0" borderId="35" xfId="0" applyNumberFormat="1" applyFont="1" applyBorder="1" applyAlignment="1">
      <alignment horizontal="right" wrapText="1"/>
    </xf>
    <xf numFmtId="2" fontId="21" fillId="0" borderId="47" xfId="0" applyNumberFormat="1" applyFont="1" applyBorder="1" applyAlignment="1">
      <alignment horizontal="right" wrapText="1"/>
    </xf>
    <xf numFmtId="0" fontId="21" fillId="0" borderId="27" xfId="0" applyFont="1" applyBorder="1" applyAlignment="1">
      <alignment/>
    </xf>
    <xf numFmtId="2" fontId="21" fillId="0" borderId="35" xfId="0" applyNumberFormat="1" applyFont="1" applyBorder="1" applyAlignment="1">
      <alignment/>
    </xf>
    <xf numFmtId="0" fontId="19" fillId="0" borderId="47" xfId="0" applyFont="1" applyBorder="1" applyAlignment="1">
      <alignment horizontal="center" vertical="center" wrapText="1"/>
    </xf>
    <xf numFmtId="0" fontId="26" fillId="0" borderId="42" xfId="0" applyFont="1" applyBorder="1" applyAlignment="1">
      <alignment wrapText="1"/>
    </xf>
    <xf numFmtId="0" fontId="21" fillId="0" borderId="39" xfId="0" applyFont="1" applyBorder="1" applyAlignment="1">
      <alignment/>
    </xf>
    <xf numFmtId="49" fontId="22" fillId="0" borderId="33" xfId="0" applyNumberFormat="1" applyFont="1" applyBorder="1" applyAlignment="1">
      <alignment horizontal="center"/>
    </xf>
    <xf numFmtId="0" fontId="19" fillId="0" borderId="27" xfId="0" applyFont="1" applyBorder="1" applyAlignment="1">
      <alignment wrapText="1"/>
    </xf>
    <xf numFmtId="0" fontId="27" fillId="0" borderId="35" xfId="0" applyFont="1" applyBorder="1" applyAlignment="1">
      <alignment/>
    </xf>
    <xf numFmtId="0" fontId="27" fillId="0" borderId="23" xfId="0" applyFont="1" applyBorder="1" applyAlignment="1">
      <alignment/>
    </xf>
    <xf numFmtId="0" fontId="27" fillId="0" borderId="47" xfId="0" applyFont="1" applyBorder="1" applyAlignment="1">
      <alignment/>
    </xf>
    <xf numFmtId="0" fontId="27" fillId="0" borderId="11" xfId="0" applyFont="1" applyBorder="1" applyAlignment="1">
      <alignment/>
    </xf>
    <xf numFmtId="2" fontId="28" fillId="0" borderId="35" xfId="0" applyNumberFormat="1" applyFont="1" applyBorder="1" applyAlignment="1">
      <alignment/>
    </xf>
    <xf numFmtId="0" fontId="22" fillId="0" borderId="0" xfId="0" applyFont="1" applyAlignment="1">
      <alignment/>
    </xf>
    <xf numFmtId="0" fontId="27" fillId="0" borderId="40" xfId="0" applyFont="1" applyBorder="1" applyAlignment="1">
      <alignment wrapText="1"/>
    </xf>
    <xf numFmtId="0" fontId="27" fillId="0" borderId="48" xfId="0" applyFont="1" applyBorder="1" applyAlignment="1">
      <alignment wrapText="1"/>
    </xf>
    <xf numFmtId="0" fontId="27" fillId="0" borderId="49" xfId="0" applyFont="1" applyBorder="1" applyAlignment="1">
      <alignment/>
    </xf>
    <xf numFmtId="0" fontId="27" fillId="0" borderId="48" xfId="0" applyFont="1" applyBorder="1" applyAlignment="1">
      <alignment/>
    </xf>
    <xf numFmtId="0" fontId="27" fillId="0" borderId="50" xfId="0" applyFont="1" applyBorder="1" applyAlignment="1">
      <alignment/>
    </xf>
    <xf numFmtId="0" fontId="27" fillId="0" borderId="51" xfId="0" applyFont="1" applyBorder="1" applyAlignment="1">
      <alignment/>
    </xf>
    <xf numFmtId="0" fontId="22" fillId="0" borderId="40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tabSelected="1" zoomScalePageLayoutView="0" workbookViewId="0" topLeftCell="A4">
      <selection activeCell="B11" sqref="B11"/>
    </sheetView>
  </sheetViews>
  <sheetFormatPr defaultColWidth="9.00390625" defaultRowHeight="12.75"/>
  <cols>
    <col min="1" max="1" width="4.25390625" style="27" customWidth="1"/>
    <col min="2" max="2" width="18.625" style="0" customWidth="1"/>
    <col min="3" max="3" width="7.125" style="0" hidden="1" customWidth="1"/>
    <col min="4" max="4" width="8.125" style="0" hidden="1" customWidth="1"/>
    <col min="5" max="5" width="8.875" style="0" hidden="1" customWidth="1"/>
    <col min="6" max="6" width="3.00390625" style="0" hidden="1" customWidth="1"/>
    <col min="7" max="7" width="0.12890625" style="0" hidden="1" customWidth="1"/>
    <col min="8" max="8" width="9.75390625" style="0" hidden="1" customWidth="1"/>
    <col min="9" max="9" width="10.25390625" style="0" hidden="1" customWidth="1"/>
    <col min="10" max="10" width="8.875" style="0" hidden="1" customWidth="1"/>
    <col min="11" max="12" width="8.625" style="0" hidden="1" customWidth="1"/>
    <col min="13" max="13" width="8.25390625" style="0" customWidth="1"/>
    <col min="14" max="14" width="8.75390625" style="0" customWidth="1"/>
    <col min="15" max="15" width="9.00390625" style="0" customWidth="1"/>
    <col min="16" max="16" width="7.875" style="0" customWidth="1"/>
    <col min="17" max="17" width="8.375" style="0" customWidth="1"/>
    <col min="18" max="18" width="8.75390625" style="0" customWidth="1"/>
    <col min="19" max="19" width="9.25390625" style="0" customWidth="1"/>
    <col min="20" max="20" width="8.625" style="0" customWidth="1"/>
    <col min="21" max="21" width="8.875" style="0" customWidth="1"/>
    <col min="22" max="22" width="8.125" style="0" customWidth="1"/>
    <col min="23" max="23" width="8.375" style="0" customWidth="1"/>
    <col min="24" max="24" width="8.625" style="0" customWidth="1"/>
    <col min="25" max="25" width="9.00390625" style="0" customWidth="1"/>
    <col min="26" max="26" width="9.875" style="0" customWidth="1"/>
  </cols>
  <sheetData>
    <row r="1" spans="2:31" ht="12.75" customHeight="1">
      <c r="B1" s="93" t="s">
        <v>64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2:31" ht="12.75" customHeight="1">
      <c r="B2" s="93" t="s">
        <v>63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4"/>
      <c r="X2" s="94"/>
      <c r="Y2" s="4"/>
      <c r="Z2" s="4"/>
      <c r="AA2" s="4"/>
      <c r="AB2" s="4"/>
      <c r="AC2" s="4"/>
      <c r="AD2" s="4"/>
      <c r="AE2" s="4"/>
    </row>
    <row r="3" spans="2:31" ht="12.75" customHeight="1">
      <c r="B3" s="92" t="s">
        <v>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3"/>
      <c r="AB3" s="3"/>
      <c r="AC3" s="3"/>
      <c r="AD3" s="3"/>
      <c r="AE3" s="3"/>
    </row>
    <row r="4" spans="2:31" ht="15" customHeight="1">
      <c r="B4" s="91" t="s">
        <v>7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2"/>
      <c r="AB4" s="2"/>
      <c r="AC4" s="2"/>
      <c r="AD4" s="2"/>
      <c r="AE4" s="2"/>
    </row>
    <row r="5" spans="2:31" ht="16.5" customHeight="1">
      <c r="B5" s="91" t="s">
        <v>42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2"/>
      <c r="AB5" s="2"/>
      <c r="AC5" s="2"/>
      <c r="AD5" s="2"/>
      <c r="AE5" s="2"/>
    </row>
    <row r="6" spans="2:31" ht="16.5" customHeight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  <c r="AB6" s="2"/>
      <c r="AC6" s="2"/>
      <c r="AD6" s="2"/>
      <c r="AE6" s="2"/>
    </row>
    <row r="7" spans="1:31" ht="41.25" customHeight="1" thickBot="1">
      <c r="A7" s="35" t="s">
        <v>24</v>
      </c>
      <c r="B7" s="28" t="s">
        <v>4</v>
      </c>
      <c r="C7" s="38" t="s">
        <v>39</v>
      </c>
      <c r="D7" s="50" t="s">
        <v>43</v>
      </c>
      <c r="E7" s="50" t="s">
        <v>45</v>
      </c>
      <c r="F7" s="50" t="s">
        <v>49</v>
      </c>
      <c r="G7" s="73" t="s">
        <v>50</v>
      </c>
      <c r="H7" s="50" t="s">
        <v>52</v>
      </c>
      <c r="I7" s="50" t="s">
        <v>59</v>
      </c>
      <c r="J7" s="50" t="s">
        <v>60</v>
      </c>
      <c r="K7" s="50" t="s">
        <v>61</v>
      </c>
      <c r="L7" s="50" t="s">
        <v>62</v>
      </c>
      <c r="M7" s="6" t="s">
        <v>8</v>
      </c>
      <c r="N7" s="5" t="s">
        <v>9</v>
      </c>
      <c r="O7" s="5" t="s">
        <v>10</v>
      </c>
      <c r="P7" s="5" t="s">
        <v>11</v>
      </c>
      <c r="Q7" s="5" t="s">
        <v>12</v>
      </c>
      <c r="R7" s="5" t="s">
        <v>13</v>
      </c>
      <c r="S7" s="5" t="s">
        <v>14</v>
      </c>
      <c r="T7" s="5" t="s">
        <v>15</v>
      </c>
      <c r="U7" s="5" t="s">
        <v>16</v>
      </c>
      <c r="V7" s="5" t="s">
        <v>17</v>
      </c>
      <c r="W7" s="5" t="s">
        <v>19</v>
      </c>
      <c r="X7" s="16" t="s">
        <v>18</v>
      </c>
      <c r="Y7" s="50" t="s">
        <v>65</v>
      </c>
      <c r="Z7" s="45" t="s">
        <v>66</v>
      </c>
      <c r="AA7" s="1"/>
      <c r="AB7" s="1"/>
      <c r="AC7" s="1"/>
      <c r="AD7" s="1"/>
      <c r="AE7" s="1"/>
    </row>
    <row r="8" spans="1:26" ht="13.5" thickBot="1">
      <c r="A8" s="36" t="s">
        <v>25</v>
      </c>
      <c r="B8" s="29" t="s">
        <v>1</v>
      </c>
      <c r="C8" s="60">
        <v>3764.88</v>
      </c>
      <c r="D8" s="63">
        <v>15049.56</v>
      </c>
      <c r="E8" s="60">
        <v>15019.68</v>
      </c>
      <c r="F8" s="60">
        <v>14953.28</v>
      </c>
      <c r="G8" s="74">
        <v>14940</v>
      </c>
      <c r="H8" s="60">
        <v>14940</v>
      </c>
      <c r="I8" s="60">
        <v>14940</v>
      </c>
      <c r="J8" s="60">
        <v>14940</v>
      </c>
      <c r="K8" s="60">
        <v>14940</v>
      </c>
      <c r="L8" s="60">
        <v>14040</v>
      </c>
      <c r="M8" s="7">
        <v>1170</v>
      </c>
      <c r="N8" s="7">
        <v>1170</v>
      </c>
      <c r="O8" s="7">
        <v>1170</v>
      </c>
      <c r="P8" s="7">
        <v>1170</v>
      </c>
      <c r="Q8" s="7">
        <v>1170</v>
      </c>
      <c r="R8" s="7">
        <v>1170</v>
      </c>
      <c r="S8" s="7">
        <v>1170</v>
      </c>
      <c r="T8" s="7">
        <v>1170</v>
      </c>
      <c r="U8" s="7">
        <v>1170</v>
      </c>
      <c r="V8" s="7">
        <v>1170</v>
      </c>
      <c r="W8" s="7">
        <v>1170</v>
      </c>
      <c r="X8" s="7">
        <v>1170</v>
      </c>
      <c r="Y8" s="51">
        <f>SUM(M8:X8)</f>
        <v>14040</v>
      </c>
      <c r="Z8" s="55">
        <f>SUM(C8:X8)</f>
        <v>151567.4</v>
      </c>
    </row>
    <row r="9" spans="1:26" s="83" customFormat="1" ht="13.5" thickBot="1">
      <c r="A9" s="76" t="s">
        <v>26</v>
      </c>
      <c r="B9" s="77" t="s">
        <v>2</v>
      </c>
      <c r="C9" s="78">
        <f aca="true" t="shared" si="0" ref="C9:M9">SUM(C10:C18)</f>
        <v>1973.58</v>
      </c>
      <c r="D9" s="79">
        <f t="shared" si="0"/>
        <v>19241.499999999996</v>
      </c>
      <c r="E9" s="78">
        <f t="shared" si="0"/>
        <v>12280.969999999998</v>
      </c>
      <c r="F9" s="78">
        <f t="shared" si="0"/>
        <v>13662.5</v>
      </c>
      <c r="G9" s="80">
        <f t="shared" si="0"/>
        <v>13847.27</v>
      </c>
      <c r="H9" s="78">
        <f>SUM(H10:H18)</f>
        <v>9484.499999999998</v>
      </c>
      <c r="I9" s="78">
        <f>SUM(I10:I18)</f>
        <v>13484.810000000001</v>
      </c>
      <c r="J9" s="78">
        <f>SUM(J10:J18)</f>
        <v>12266.050000000001</v>
      </c>
      <c r="K9" s="78">
        <f t="shared" si="0"/>
        <v>12443.820000000002</v>
      </c>
      <c r="L9" s="78">
        <f t="shared" si="0"/>
        <v>14051.85</v>
      </c>
      <c r="M9" s="81">
        <f t="shared" si="0"/>
        <v>3075.36</v>
      </c>
      <c r="N9" s="81">
        <f aca="true" t="shared" si="1" ref="N9:X9">SUM(N10:N18)</f>
        <v>1074.33</v>
      </c>
      <c r="O9" s="81">
        <f t="shared" si="1"/>
        <v>1101.52</v>
      </c>
      <c r="P9" s="81">
        <f t="shared" si="1"/>
        <v>1069.02</v>
      </c>
      <c r="Q9" s="81">
        <f t="shared" si="1"/>
        <v>1098.56</v>
      </c>
      <c r="R9" s="81">
        <f t="shared" si="1"/>
        <v>1090.84</v>
      </c>
      <c r="S9" s="81">
        <f t="shared" si="1"/>
        <v>1217.42</v>
      </c>
      <c r="T9" s="81">
        <f t="shared" si="1"/>
        <v>1219.08</v>
      </c>
      <c r="U9" s="81">
        <f t="shared" si="1"/>
        <v>1279.64</v>
      </c>
      <c r="V9" s="81">
        <f t="shared" si="1"/>
        <v>1327.59</v>
      </c>
      <c r="W9" s="81">
        <f t="shared" si="1"/>
        <v>1378.21</v>
      </c>
      <c r="X9" s="79">
        <f t="shared" si="1"/>
        <v>1426.53</v>
      </c>
      <c r="Y9" s="78">
        <f>SUM(M9:X9)</f>
        <v>16358.1</v>
      </c>
      <c r="Z9" s="82">
        <f>SUM(C9:X9)</f>
        <v>139094.95</v>
      </c>
    </row>
    <row r="10" spans="1:26" ht="13.5" thickBot="1">
      <c r="A10" s="36" t="s">
        <v>27</v>
      </c>
      <c r="B10" s="30" t="s">
        <v>67</v>
      </c>
      <c r="C10" s="42">
        <v>14.63</v>
      </c>
      <c r="D10" s="64">
        <v>1816.32</v>
      </c>
      <c r="E10" s="42">
        <v>778.6</v>
      </c>
      <c r="F10" s="42">
        <v>407.18</v>
      </c>
      <c r="G10" s="64">
        <v>2519.05</v>
      </c>
      <c r="H10" s="42">
        <v>852.68</v>
      </c>
      <c r="I10" s="42">
        <v>451.43</v>
      </c>
      <c r="J10" s="42">
        <v>350.53</v>
      </c>
      <c r="K10" s="42">
        <v>389.59</v>
      </c>
      <c r="L10" s="42">
        <v>55.91</v>
      </c>
      <c r="M10" s="7"/>
      <c r="N10" s="8">
        <v>3.65</v>
      </c>
      <c r="O10" s="8">
        <v>4.24</v>
      </c>
      <c r="P10" s="8">
        <v>4.75</v>
      </c>
      <c r="Q10" s="8">
        <v>7.61</v>
      </c>
      <c r="R10" s="8">
        <v>5.6</v>
      </c>
      <c r="S10" s="8">
        <v>8.88</v>
      </c>
      <c r="T10" s="8">
        <v>9.2</v>
      </c>
      <c r="U10" s="8">
        <v>21.84</v>
      </c>
      <c r="V10" s="8">
        <v>9.36</v>
      </c>
      <c r="W10" s="8">
        <v>0.62</v>
      </c>
      <c r="X10" s="17">
        <v>0.82</v>
      </c>
      <c r="Y10" s="52">
        <f aca="true" t="shared" si="2" ref="Y10:Y20">SUM(M10:X10)</f>
        <v>76.57000000000001</v>
      </c>
      <c r="Z10" s="56">
        <f aca="true" t="shared" si="3" ref="Z10:Z18">SUM(C10:X10)</f>
        <v>7712.49</v>
      </c>
    </row>
    <row r="11" spans="1:26" ht="22.5" customHeight="1" thickBot="1">
      <c r="A11" s="36" t="s">
        <v>28</v>
      </c>
      <c r="B11" s="31" t="s">
        <v>54</v>
      </c>
      <c r="C11" s="43">
        <v>27.81</v>
      </c>
      <c r="D11" s="65">
        <v>1521.94</v>
      </c>
      <c r="E11" s="43">
        <v>307.09</v>
      </c>
      <c r="F11" s="43">
        <v>2045.72</v>
      </c>
      <c r="G11" s="65">
        <v>787.12</v>
      </c>
      <c r="H11" s="43">
        <v>2121.54</v>
      </c>
      <c r="I11" s="43">
        <v>1618.04</v>
      </c>
      <c r="J11" s="43">
        <v>397.84</v>
      </c>
      <c r="K11" s="43">
        <v>0</v>
      </c>
      <c r="L11" s="43">
        <v>0</v>
      </c>
      <c r="M11" s="9">
        <v>1920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8"/>
      <c r="Y11" s="52">
        <f t="shared" si="2"/>
        <v>1920</v>
      </c>
      <c r="Z11" s="56">
        <f t="shared" si="3"/>
        <v>10747.1</v>
      </c>
    </row>
    <row r="12" spans="1:26" ht="16.5" customHeight="1" thickBot="1">
      <c r="A12" s="36" t="s">
        <v>29</v>
      </c>
      <c r="B12" s="31" t="s">
        <v>53</v>
      </c>
      <c r="C12" s="43">
        <v>21</v>
      </c>
      <c r="D12" s="65">
        <v>6454.36</v>
      </c>
      <c r="E12" s="43">
        <v>159.03</v>
      </c>
      <c r="F12" s="43">
        <v>600</v>
      </c>
      <c r="G12" s="65">
        <v>96.58</v>
      </c>
      <c r="H12" s="43">
        <v>2279.21</v>
      </c>
      <c r="I12" s="43">
        <v>659.26</v>
      </c>
      <c r="J12" s="43">
        <v>414.1</v>
      </c>
      <c r="K12" s="43">
        <v>250</v>
      </c>
      <c r="L12" s="43">
        <v>1135</v>
      </c>
      <c r="M12" s="9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8"/>
      <c r="Y12" s="52">
        <f t="shared" si="2"/>
        <v>0</v>
      </c>
      <c r="Z12" s="56">
        <f t="shared" si="3"/>
        <v>12068.54</v>
      </c>
    </row>
    <row r="13" spans="1:26" ht="22.5" customHeight="1" thickBot="1">
      <c r="A13" s="36" t="s">
        <v>30</v>
      </c>
      <c r="B13" s="31" t="s">
        <v>46</v>
      </c>
      <c r="C13" s="43">
        <v>97.18</v>
      </c>
      <c r="D13" s="65">
        <v>0</v>
      </c>
      <c r="E13" s="43">
        <v>256</v>
      </c>
      <c r="F13" s="43">
        <v>0</v>
      </c>
      <c r="G13" s="65">
        <v>5.33</v>
      </c>
      <c r="H13" s="43">
        <v>0</v>
      </c>
      <c r="I13" s="43">
        <v>51</v>
      </c>
      <c r="J13" s="43">
        <v>8</v>
      </c>
      <c r="K13" s="43">
        <v>0</v>
      </c>
      <c r="L13" s="43">
        <v>26.6</v>
      </c>
      <c r="M13" s="9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8"/>
      <c r="Y13" s="52">
        <f t="shared" si="2"/>
        <v>0</v>
      </c>
      <c r="Z13" s="56">
        <f t="shared" si="3"/>
        <v>444.11</v>
      </c>
    </row>
    <row r="14" spans="1:26" ht="36" customHeight="1" thickBot="1">
      <c r="A14" s="36" t="s">
        <v>31</v>
      </c>
      <c r="B14" s="31" t="s">
        <v>55</v>
      </c>
      <c r="C14" s="43">
        <v>119.5</v>
      </c>
      <c r="D14" s="65">
        <v>733.47</v>
      </c>
      <c r="E14" s="43">
        <v>1591.56</v>
      </c>
      <c r="F14" s="43">
        <v>928.89</v>
      </c>
      <c r="G14" s="65">
        <v>611.23</v>
      </c>
      <c r="H14" s="43">
        <v>720.9</v>
      </c>
      <c r="I14" s="43">
        <v>762.33</v>
      </c>
      <c r="J14" s="43">
        <v>774.5</v>
      </c>
      <c r="K14" s="43">
        <v>813.9</v>
      </c>
      <c r="L14" s="43">
        <v>658.86</v>
      </c>
      <c r="M14" s="9">
        <v>48.39</v>
      </c>
      <c r="N14" s="10">
        <v>43.38</v>
      </c>
      <c r="O14" s="10">
        <v>53.93</v>
      </c>
      <c r="P14" s="10">
        <v>42.16</v>
      </c>
      <c r="Q14" s="10">
        <v>43.62</v>
      </c>
      <c r="R14" s="10">
        <v>44.03</v>
      </c>
      <c r="S14" s="10">
        <v>50.92</v>
      </c>
      <c r="T14" s="10">
        <v>63.46</v>
      </c>
      <c r="U14" s="10">
        <v>60.9</v>
      </c>
      <c r="V14" s="10">
        <v>70.78</v>
      </c>
      <c r="W14" s="10">
        <v>65.83</v>
      </c>
      <c r="X14" s="18">
        <v>60.09</v>
      </c>
      <c r="Y14" s="52">
        <f t="shared" si="2"/>
        <v>647.49</v>
      </c>
      <c r="Z14" s="56">
        <f t="shared" si="3"/>
        <v>8362.63</v>
      </c>
    </row>
    <row r="15" spans="1:26" ht="36.75" customHeight="1" thickBot="1">
      <c r="A15" s="36" t="s">
        <v>32</v>
      </c>
      <c r="B15" s="31" t="s">
        <v>56</v>
      </c>
      <c r="C15" s="43">
        <v>219.88</v>
      </c>
      <c r="D15" s="65">
        <v>399.47</v>
      </c>
      <c r="E15" s="43">
        <v>119.56</v>
      </c>
      <c r="F15" s="43">
        <v>84.6</v>
      </c>
      <c r="G15" s="65">
        <v>183.87</v>
      </c>
      <c r="H15" s="43">
        <v>124.23</v>
      </c>
      <c r="I15" s="43">
        <v>108.44</v>
      </c>
      <c r="J15" s="43">
        <v>84.69</v>
      </c>
      <c r="K15" s="43">
        <v>82.09</v>
      </c>
      <c r="L15" s="43">
        <v>74.61</v>
      </c>
      <c r="M15" s="9">
        <v>2.78</v>
      </c>
      <c r="N15" s="10">
        <v>3.94</v>
      </c>
      <c r="O15" s="10">
        <v>3.77</v>
      </c>
      <c r="P15" s="10">
        <v>3.77</v>
      </c>
      <c r="Q15" s="10">
        <v>3.67</v>
      </c>
      <c r="R15" s="10">
        <v>3.21</v>
      </c>
      <c r="S15" s="10">
        <v>7.24</v>
      </c>
      <c r="T15" s="10">
        <v>3.76</v>
      </c>
      <c r="U15" s="10">
        <v>2.3</v>
      </c>
      <c r="V15" s="10">
        <v>6.93</v>
      </c>
      <c r="W15" s="10">
        <v>2.98</v>
      </c>
      <c r="X15" s="18">
        <v>8.12</v>
      </c>
      <c r="Y15" s="52">
        <f t="shared" si="2"/>
        <v>52.46999999999999</v>
      </c>
      <c r="Z15" s="56">
        <f t="shared" si="3"/>
        <v>1533.91</v>
      </c>
    </row>
    <row r="16" spans="1:26" ht="36" customHeight="1" thickBot="1">
      <c r="A16" s="36" t="s">
        <v>33</v>
      </c>
      <c r="B16" s="31" t="s">
        <v>57</v>
      </c>
      <c r="C16" s="43">
        <v>17.5</v>
      </c>
      <c r="D16" s="65">
        <v>1128.73</v>
      </c>
      <c r="E16" s="43">
        <v>621.51</v>
      </c>
      <c r="F16" s="43">
        <v>840.07</v>
      </c>
      <c r="G16" s="65">
        <v>713</v>
      </c>
      <c r="H16" s="43">
        <v>951.73</v>
      </c>
      <c r="I16" s="43">
        <v>793.25</v>
      </c>
      <c r="J16" s="43">
        <v>835.55</v>
      </c>
      <c r="K16" s="43">
        <v>915.27</v>
      </c>
      <c r="L16" s="43">
        <v>995.23</v>
      </c>
      <c r="M16" s="9">
        <f>1.98+26.03+42.45</f>
        <v>70.46000000000001</v>
      </c>
      <c r="N16" s="10">
        <f>2.05+30.58+45.54</f>
        <v>78.16999999999999</v>
      </c>
      <c r="O16" s="10">
        <f>1.96+27.59+46.69</f>
        <v>76.24</v>
      </c>
      <c r="P16" s="10">
        <f>2.43+32.45+43.59</f>
        <v>78.47</v>
      </c>
      <c r="Q16" s="10">
        <f>2.04+40.55+43.27</f>
        <v>85.86</v>
      </c>
      <c r="R16" s="10">
        <f>1.98+34.23+40.81</f>
        <v>77.02</v>
      </c>
      <c r="S16" s="10">
        <f>2.14+27.94+41.4</f>
        <v>71.48</v>
      </c>
      <c r="T16" s="10">
        <f>40.18+2.03+28.17</f>
        <v>70.38</v>
      </c>
      <c r="U16" s="10">
        <f>36.31+62.04</f>
        <v>98.35</v>
      </c>
      <c r="V16" s="10">
        <f>2.14+60.64+60.38</f>
        <v>123.16</v>
      </c>
      <c r="W16" s="10">
        <f>2.35+48.7+58.12</f>
        <v>109.17</v>
      </c>
      <c r="X16" s="18">
        <f>2.65+67.67+53.33</f>
        <v>123.65</v>
      </c>
      <c r="Y16" s="52">
        <f t="shared" si="2"/>
        <v>1062.41</v>
      </c>
      <c r="Z16" s="56">
        <f t="shared" si="3"/>
        <v>8874.25</v>
      </c>
    </row>
    <row r="17" spans="1:26" ht="18.75" customHeight="1" thickBot="1">
      <c r="A17" s="36" t="s">
        <v>47</v>
      </c>
      <c r="B17" s="31" t="s">
        <v>6</v>
      </c>
      <c r="C17" s="43">
        <v>1308.84</v>
      </c>
      <c r="D17" s="65">
        <v>6202.2</v>
      </c>
      <c r="E17" s="43">
        <v>7806.57</v>
      </c>
      <c r="F17" s="43">
        <v>8191.2</v>
      </c>
      <c r="G17" s="65">
        <v>8387.67</v>
      </c>
      <c r="H17" s="43">
        <v>1885.31</v>
      </c>
      <c r="I17" s="43">
        <v>8523.94</v>
      </c>
      <c r="J17" s="43">
        <v>8886.17</v>
      </c>
      <c r="K17" s="43">
        <v>9535.85</v>
      </c>
      <c r="L17" s="43">
        <v>10385.65</v>
      </c>
      <c r="M17" s="9">
        <f>3075.36-2076.87</f>
        <v>998.4900000000002</v>
      </c>
      <c r="N17" s="10">
        <f>1074.33-164.4</f>
        <v>909.93</v>
      </c>
      <c r="O17" s="10">
        <f>1101.52-173.43</f>
        <v>928.0899999999999</v>
      </c>
      <c r="P17" s="10">
        <f>1069.02-164.41</f>
        <v>904.61</v>
      </c>
      <c r="Q17" s="10">
        <f>1098.56-176.02</f>
        <v>922.54</v>
      </c>
      <c r="R17" s="10">
        <f>1090.84-165.13</f>
        <v>925.7099999999999</v>
      </c>
      <c r="S17" s="10">
        <f>1217.42-173.76</f>
        <v>1043.66</v>
      </c>
      <c r="T17" s="10">
        <f>1219.08-182.06</f>
        <v>1037.02</v>
      </c>
      <c r="U17" s="10">
        <f>1279.64-218.65</f>
        <v>1060.99</v>
      </c>
      <c r="V17" s="10">
        <f>1327.59-245.49</f>
        <v>1082.1</v>
      </c>
      <c r="W17" s="10">
        <f>1378.21-213.85</f>
        <v>1164.3600000000001</v>
      </c>
      <c r="X17" s="18">
        <f>1426.53-227.94</f>
        <v>1198.59</v>
      </c>
      <c r="Y17" s="52">
        <f t="shared" si="2"/>
        <v>12176.09</v>
      </c>
      <c r="Z17" s="56">
        <f t="shared" si="3"/>
        <v>83289.49</v>
      </c>
    </row>
    <row r="18" spans="1:26" ht="18.75" customHeight="1" thickBot="1">
      <c r="A18" s="36" t="s">
        <v>48</v>
      </c>
      <c r="B18" s="32" t="s">
        <v>3</v>
      </c>
      <c r="C18" s="44">
        <v>147.24</v>
      </c>
      <c r="D18" s="66">
        <v>985.01</v>
      </c>
      <c r="E18" s="44">
        <v>641.05</v>
      </c>
      <c r="F18" s="44">
        <v>564.84</v>
      </c>
      <c r="G18" s="66">
        <v>543.42</v>
      </c>
      <c r="H18" s="44">
        <v>548.9</v>
      </c>
      <c r="I18" s="44">
        <v>517.12</v>
      </c>
      <c r="J18" s="44">
        <v>514.67</v>
      </c>
      <c r="K18" s="44">
        <v>457.12</v>
      </c>
      <c r="L18" s="44">
        <v>719.99</v>
      </c>
      <c r="M18" s="11">
        <v>35.24</v>
      </c>
      <c r="N18" s="12">
        <v>35.26</v>
      </c>
      <c r="O18" s="12">
        <v>35.25</v>
      </c>
      <c r="P18" s="12">
        <v>35.26</v>
      </c>
      <c r="Q18" s="12">
        <v>35.26</v>
      </c>
      <c r="R18" s="12">
        <v>35.27</v>
      </c>
      <c r="S18" s="12">
        <v>35.24</v>
      </c>
      <c r="T18" s="12">
        <f>35.26</f>
        <v>35.26</v>
      </c>
      <c r="U18" s="12">
        <v>35.26</v>
      </c>
      <c r="V18" s="12">
        <v>35.26</v>
      </c>
      <c r="W18" s="12">
        <v>35.25</v>
      </c>
      <c r="X18" s="20">
        <v>35.26</v>
      </c>
      <c r="Y18" s="52">
        <f t="shared" si="2"/>
        <v>423.07</v>
      </c>
      <c r="Z18" s="56">
        <f t="shared" si="3"/>
        <v>6062.430000000001</v>
      </c>
    </row>
    <row r="19" spans="1:26" ht="18.75" customHeight="1" thickBot="1">
      <c r="A19" s="36"/>
      <c r="B19" s="39" t="s">
        <v>51</v>
      </c>
      <c r="C19" s="69"/>
      <c r="D19" s="70"/>
      <c r="E19" s="69"/>
      <c r="F19" s="69"/>
      <c r="G19" s="19">
        <f aca="true" t="shared" si="4" ref="G19:M19">G8*5%</f>
        <v>747</v>
      </c>
      <c r="H19" s="52">
        <f t="shared" si="4"/>
        <v>747</v>
      </c>
      <c r="I19" s="71">
        <f t="shared" si="4"/>
        <v>747</v>
      </c>
      <c r="J19" s="52">
        <f t="shared" si="4"/>
        <v>747</v>
      </c>
      <c r="K19" s="52">
        <f t="shared" si="4"/>
        <v>747</v>
      </c>
      <c r="L19" s="52">
        <f>L8*5%</f>
        <v>702</v>
      </c>
      <c r="M19" s="71">
        <f t="shared" si="4"/>
        <v>58.5</v>
      </c>
      <c r="N19" s="71">
        <f aca="true" t="shared" si="5" ref="N19:X19">N8*5%</f>
        <v>58.5</v>
      </c>
      <c r="O19" s="71">
        <f t="shared" si="5"/>
        <v>58.5</v>
      </c>
      <c r="P19" s="71">
        <f t="shared" si="5"/>
        <v>58.5</v>
      </c>
      <c r="Q19" s="71">
        <f t="shared" si="5"/>
        <v>58.5</v>
      </c>
      <c r="R19" s="71">
        <f t="shared" si="5"/>
        <v>58.5</v>
      </c>
      <c r="S19" s="71">
        <f t="shared" si="5"/>
        <v>58.5</v>
      </c>
      <c r="T19" s="71">
        <f t="shared" si="5"/>
        <v>58.5</v>
      </c>
      <c r="U19" s="71">
        <f t="shared" si="5"/>
        <v>58.5</v>
      </c>
      <c r="V19" s="71">
        <f t="shared" si="5"/>
        <v>58.5</v>
      </c>
      <c r="W19" s="71">
        <f t="shared" si="5"/>
        <v>58.5</v>
      </c>
      <c r="X19" s="71">
        <f t="shared" si="5"/>
        <v>58.5</v>
      </c>
      <c r="Y19" s="72">
        <f t="shared" si="2"/>
        <v>702</v>
      </c>
      <c r="Z19" s="59"/>
    </row>
    <row r="20" spans="1:26" ht="19.5" customHeight="1" thickBot="1">
      <c r="A20" s="36" t="s">
        <v>34</v>
      </c>
      <c r="B20" s="57" t="s">
        <v>44</v>
      </c>
      <c r="C20" s="58"/>
      <c r="D20" s="67"/>
      <c r="E20" s="58"/>
      <c r="F20" s="58"/>
      <c r="G20" s="67"/>
      <c r="H20" s="58"/>
      <c r="I20" s="58"/>
      <c r="J20" s="75">
        <f aca="true" t="shared" si="6" ref="J20:X20">SUM(J8-J9)-J19</f>
        <v>1926.949999999999</v>
      </c>
      <c r="K20" s="75">
        <f>SUM(K8-K9)-K19</f>
        <v>1749.1799999999985</v>
      </c>
      <c r="L20" s="75">
        <f>SUM(L8-L9)-L19</f>
        <v>-713.8500000000004</v>
      </c>
      <c r="M20" s="68">
        <f t="shared" si="6"/>
        <v>-1963.8600000000001</v>
      </c>
      <c r="N20" s="68">
        <f t="shared" si="6"/>
        <v>37.17000000000007</v>
      </c>
      <c r="O20" s="68">
        <f t="shared" si="6"/>
        <v>9.980000000000018</v>
      </c>
      <c r="P20" s="68">
        <f t="shared" si="6"/>
        <v>42.48000000000002</v>
      </c>
      <c r="Q20" s="68">
        <f t="shared" si="6"/>
        <v>12.940000000000055</v>
      </c>
      <c r="R20" s="68">
        <f t="shared" si="6"/>
        <v>20.660000000000082</v>
      </c>
      <c r="S20" s="68">
        <f t="shared" si="6"/>
        <v>-105.92000000000007</v>
      </c>
      <c r="T20" s="68">
        <f t="shared" si="6"/>
        <v>-107.57999999999993</v>
      </c>
      <c r="U20" s="68">
        <f t="shared" si="6"/>
        <v>-168.1400000000001</v>
      </c>
      <c r="V20" s="68">
        <f t="shared" si="6"/>
        <v>-216.08999999999992</v>
      </c>
      <c r="W20" s="68">
        <f t="shared" si="6"/>
        <v>-266.71000000000004</v>
      </c>
      <c r="X20" s="68">
        <f t="shared" si="6"/>
        <v>-315.03</v>
      </c>
      <c r="Y20" s="52">
        <f t="shared" si="2"/>
        <v>-3020.1000000000004</v>
      </c>
      <c r="Z20" s="59"/>
    </row>
    <row r="21" spans="1:26" ht="21.75" customHeight="1" thickBot="1">
      <c r="A21" s="76" t="s">
        <v>35</v>
      </c>
      <c r="B21" s="84" t="s">
        <v>20</v>
      </c>
      <c r="C21" s="85">
        <v>1791.3</v>
      </c>
      <c r="D21" s="86">
        <f>SUM(D8-D9)</f>
        <v>-4191.939999999997</v>
      </c>
      <c r="E21" s="87">
        <f>SUM(E8-E9)</f>
        <v>2738.7100000000028</v>
      </c>
      <c r="F21" s="87">
        <f>SUM(F8-F9)</f>
        <v>1290.7800000000007</v>
      </c>
      <c r="G21" s="86">
        <f aca="true" t="shared" si="7" ref="G21:M21">SUM(G8-G9)-G19</f>
        <v>345.72999999999956</v>
      </c>
      <c r="H21" s="87">
        <f t="shared" si="7"/>
        <v>4708.500000000002</v>
      </c>
      <c r="I21" s="78">
        <f t="shared" si="7"/>
        <v>708.1899999999987</v>
      </c>
      <c r="J21" s="78">
        <f t="shared" si="7"/>
        <v>1926.949999999999</v>
      </c>
      <c r="K21" s="78">
        <f t="shared" si="7"/>
        <v>1749.1799999999985</v>
      </c>
      <c r="L21" s="78">
        <f>SUM(L8-L9)-L19</f>
        <v>-713.8500000000004</v>
      </c>
      <c r="M21" s="88">
        <f t="shared" si="7"/>
        <v>-1963.8600000000001</v>
      </c>
      <c r="N21" s="89">
        <f>SUM(N20+M21)</f>
        <v>-1926.69</v>
      </c>
      <c r="O21" s="89">
        <f aca="true" t="shared" si="8" ref="O21:X21">SUM(O20+N21)</f>
        <v>-1916.71</v>
      </c>
      <c r="P21" s="89">
        <f t="shared" si="8"/>
        <v>-1874.23</v>
      </c>
      <c r="Q21" s="89">
        <f t="shared" si="8"/>
        <v>-1861.29</v>
      </c>
      <c r="R21" s="89">
        <f t="shared" si="8"/>
        <v>-1840.6299999999999</v>
      </c>
      <c r="S21" s="89">
        <f t="shared" si="8"/>
        <v>-1946.55</v>
      </c>
      <c r="T21" s="89">
        <f t="shared" si="8"/>
        <v>-2054.13</v>
      </c>
      <c r="U21" s="89">
        <f t="shared" si="8"/>
        <v>-2222.2700000000004</v>
      </c>
      <c r="V21" s="89">
        <f t="shared" si="8"/>
        <v>-2438.3600000000006</v>
      </c>
      <c r="W21" s="89">
        <f t="shared" si="8"/>
        <v>-2705.0700000000006</v>
      </c>
      <c r="X21" s="89">
        <f t="shared" si="8"/>
        <v>-3020.1000000000004</v>
      </c>
      <c r="Y21" s="87"/>
      <c r="Z21" s="90"/>
    </row>
    <row r="22" spans="1:26" ht="27" customHeight="1" thickBot="1">
      <c r="A22" s="36" t="s">
        <v>36</v>
      </c>
      <c r="B22" s="39" t="s">
        <v>21</v>
      </c>
      <c r="C22" s="39">
        <v>1791.3</v>
      </c>
      <c r="D22" s="19">
        <f>SUM(D8-D9,C22)</f>
        <v>-2400.6399999999967</v>
      </c>
      <c r="E22" s="52">
        <f>SUM(E8-E9,D22)</f>
        <v>338.0700000000061</v>
      </c>
      <c r="F22" s="52">
        <f>SUM(F8-F9,E22)</f>
        <v>1628.8500000000067</v>
      </c>
      <c r="G22" s="19">
        <f aca="true" t="shared" si="9" ref="G22:M22">SUM(G21+F22)</f>
        <v>1974.5800000000063</v>
      </c>
      <c r="H22" s="52">
        <f t="shared" si="9"/>
        <v>6683.080000000008</v>
      </c>
      <c r="I22" s="52">
        <f t="shared" si="9"/>
        <v>7391.270000000007</v>
      </c>
      <c r="J22" s="52">
        <f t="shared" si="9"/>
        <v>9318.220000000005</v>
      </c>
      <c r="K22" s="52">
        <f t="shared" si="9"/>
        <v>11067.400000000003</v>
      </c>
      <c r="L22" s="52">
        <f t="shared" si="9"/>
        <v>10353.550000000003</v>
      </c>
      <c r="M22" s="52">
        <f t="shared" si="9"/>
        <v>8389.690000000002</v>
      </c>
      <c r="N22" s="13">
        <f>SUM(N20+M22)</f>
        <v>8426.860000000002</v>
      </c>
      <c r="O22" s="13">
        <f aca="true" t="shared" si="10" ref="O22:X22">SUM(O20+N22)</f>
        <v>8436.840000000002</v>
      </c>
      <c r="P22" s="13">
        <f t="shared" si="10"/>
        <v>8479.320000000002</v>
      </c>
      <c r="Q22" s="13">
        <f t="shared" si="10"/>
        <v>8492.260000000002</v>
      </c>
      <c r="R22" s="13">
        <f t="shared" si="10"/>
        <v>8512.920000000002</v>
      </c>
      <c r="S22" s="13">
        <f t="shared" si="10"/>
        <v>8407.000000000002</v>
      </c>
      <c r="T22" s="13">
        <f t="shared" si="10"/>
        <v>8299.420000000002</v>
      </c>
      <c r="U22" s="13">
        <f t="shared" si="10"/>
        <v>8131.280000000002</v>
      </c>
      <c r="V22" s="13">
        <f t="shared" si="10"/>
        <v>7915.190000000001</v>
      </c>
      <c r="W22" s="13">
        <f t="shared" si="10"/>
        <v>7648.480000000001</v>
      </c>
      <c r="X22" s="13">
        <f t="shared" si="10"/>
        <v>7333.450000000002</v>
      </c>
      <c r="Y22" s="52"/>
      <c r="Z22" s="46"/>
    </row>
    <row r="23" spans="1:26" ht="9.75" customHeight="1" hidden="1" thickBot="1">
      <c r="A23" s="36" t="s">
        <v>36</v>
      </c>
      <c r="B23" s="39" t="s">
        <v>5</v>
      </c>
      <c r="C23" s="40"/>
      <c r="D23" s="40"/>
      <c r="E23" s="61"/>
      <c r="F23" s="61"/>
      <c r="G23" s="61"/>
      <c r="H23" s="61"/>
      <c r="I23" s="61"/>
      <c r="J23" s="61"/>
      <c r="K23" s="61"/>
      <c r="L23" s="61"/>
      <c r="M23" s="14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21"/>
      <c r="Y23" s="52"/>
      <c r="Z23" s="47"/>
    </row>
    <row r="24" spans="1:26" ht="15" customHeight="1" hidden="1" thickBot="1">
      <c r="A24" s="36" t="s">
        <v>37</v>
      </c>
      <c r="B24" s="33" t="s">
        <v>22</v>
      </c>
      <c r="C24" s="40"/>
      <c r="D24" s="40"/>
      <c r="E24" s="61"/>
      <c r="F24" s="61"/>
      <c r="G24" s="61"/>
      <c r="H24" s="61"/>
      <c r="I24" s="61"/>
      <c r="J24" s="61"/>
      <c r="K24" s="61"/>
      <c r="L24" s="61"/>
      <c r="M24" s="14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21"/>
      <c r="Y24" s="53"/>
      <c r="Z24" s="48"/>
    </row>
    <row r="25" spans="1:26" ht="24" customHeight="1" hidden="1" thickBot="1">
      <c r="A25" s="37" t="s">
        <v>38</v>
      </c>
      <c r="B25" s="34" t="s">
        <v>41</v>
      </c>
      <c r="C25" s="41"/>
      <c r="D25" s="41"/>
      <c r="E25" s="62"/>
      <c r="F25" s="62"/>
      <c r="G25" s="62"/>
      <c r="H25" s="62"/>
      <c r="I25" s="62"/>
      <c r="J25" s="62"/>
      <c r="K25" s="62"/>
      <c r="L25" s="62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>
        <f>SUM(X21-X23)</f>
        <v>-3020.1000000000004</v>
      </c>
      <c r="Y25" s="54"/>
      <c r="Z25" s="49"/>
    </row>
    <row r="26" spans="1:26" ht="24" customHeight="1" hidden="1" thickBot="1">
      <c r="A26" s="37" t="s">
        <v>40</v>
      </c>
      <c r="B26" s="34" t="s">
        <v>23</v>
      </c>
      <c r="C26" s="41"/>
      <c r="D26" s="41"/>
      <c r="E26" s="62"/>
      <c r="F26" s="62"/>
      <c r="G26" s="62"/>
      <c r="H26" s="62"/>
      <c r="I26" s="62"/>
      <c r="J26" s="62"/>
      <c r="K26" s="62"/>
      <c r="L26" s="62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>
        <f>SUM(X22-X23)</f>
        <v>7333.450000000002</v>
      </c>
      <c r="Y26" s="54"/>
      <c r="Z26" s="49"/>
    </row>
    <row r="27" spans="3:26" ht="24" customHeight="1" hidden="1"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</row>
    <row r="29" ht="0.75" customHeight="1"/>
    <row r="30" ht="12.75" hidden="1"/>
    <row r="31" ht="12.75" hidden="1"/>
    <row r="32" ht="12.75">
      <c r="B32" t="s">
        <v>58</v>
      </c>
    </row>
    <row r="36" ht="12.75" customHeight="1"/>
    <row r="37" ht="12.75" customHeight="1"/>
  </sheetData>
  <sheetProtection/>
  <mergeCells count="5">
    <mergeCell ref="B4:Z4"/>
    <mergeCell ref="B5:Z5"/>
    <mergeCell ref="B3:Z3"/>
    <mergeCell ref="B1:O1"/>
    <mergeCell ref="B2:X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2020-02-20T12:44:41Z</cp:lastPrinted>
  <dcterms:created xsi:type="dcterms:W3CDTF">2011-06-16T11:06:26Z</dcterms:created>
  <dcterms:modified xsi:type="dcterms:W3CDTF">2021-02-04T12:23:54Z</dcterms:modified>
  <cp:category/>
  <cp:version/>
  <cp:contentType/>
  <cp:contentStatus/>
</cp:coreProperties>
</file>