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<sst xmlns="http://schemas.openxmlformats.org/spreadsheetml/2006/main" count="69" uniqueCount="68">
  <si>
    <t>СПРАВКА</t>
  </si>
  <si>
    <t xml:space="preserve">Начислено  </t>
  </si>
  <si>
    <t>Расходы</t>
  </si>
  <si>
    <t>Услуги РИРЦ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</si>
  <si>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</si>
  <si>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</si>
  <si>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</si>
  <si>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</si>
  <si>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</si>
  <si>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</si>
  <si>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</si>
  <si>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</si>
  <si>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</si>
  <si>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</si>
  <si>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</si>
  <si>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</si>
  <si>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</si>
  <si>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</si>
  <si>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</si>
  <si>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</si>
  <si>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</si>
  <si>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</si>
  <si>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</si>
  <si>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</si>
  <si>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</si>
  <si>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</si>
  <si>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</si>
  <si>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</si>
  <si>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</si>
  <si>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</si>
  <si>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4.5</t>
  </si>
  <si>
    <t>4.9</t>
  </si>
  <si>
    <t>4.10</t>
  </si>
  <si>
    <t>4.11</t>
  </si>
  <si>
    <t>5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</si>
  <si>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</si>
  <si>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</si>
  <si>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</si>
  <si>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</si>
  <si>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</si>
  <si>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</si>
  <si>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</si>
  <si>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Нахимова д.13</t>
  </si>
  <si>
    <t>Итого за 2011 г</t>
  </si>
  <si>
    <t>Результат за месяц</t>
  </si>
  <si>
    <t>Итого за 2012 г</t>
  </si>
  <si>
    <t>Благоустройство территории</t>
  </si>
  <si>
    <t>4.12</t>
  </si>
  <si>
    <t>4.13</t>
  </si>
  <si>
    <t>Итого за 2013 г</t>
  </si>
  <si>
    <t>Итого за 2014 г</t>
  </si>
  <si>
    <t>рентабельность 5%</t>
  </si>
  <si>
    <t>Итого за 2015 г</t>
  </si>
  <si>
    <t>Материалы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</si>
  <si>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</si>
  <si>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</si>
  <si>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</si>
  <si>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</si>
  <si>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вед. экономист  /Викторова Л.С./</t>
  </si>
  <si>
    <t>Итого за 2016 г</t>
  </si>
  <si>
    <t>Итого за 2017 г</t>
  </si>
  <si>
    <t>Итого за 2018 г</t>
  </si>
  <si>
    <t>Итого за 2019 г</t>
  </si>
  <si>
    <t>Дом по ул.Нахимова д.13 вступил в ООО "Наш дом" с октября 2010  года    тариф 8,3 руб с января 2019 года тариф 7,8 руб.</t>
  </si>
  <si>
    <t>ООО "НД УНЕЧА"</t>
  </si>
  <si>
    <t>Утилизация</t>
  </si>
  <si>
    <t>Итого за 2020 г</t>
  </si>
  <si>
    <t>Всего за 2010-2020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</si>
</sst>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9" xfId="0" applyFont="1" applyBorder="1" applyAlignment="1">
      <alignment/>
    </xf>
    <xf numFmtId="0" fontId="21" fillId="0" borderId="35" xfId="0" applyFont="1" applyBorder="1" applyAlignment="1">
      <alignment/>
    </xf>
    <xf numFmtId="0" fontId="20" fillId="2" borderId="36" xfId="0" applyFont="1" applyFill="1" applyBorder="1" applyAlignment="1">
      <alignment/>
    </xf>
    <xf numFmtId="0" fontId="21" fillId="0" borderId="32" xfId="0" applyFont="1" applyBorder="1" applyAlignment="1">
      <alignment/>
    </xf>
    <xf numFmtId="0" fontId="25" fillId="0" borderId="32" xfId="0" applyFont="1" applyBorder="1" applyAlignment="1">
      <alignment/>
    </xf>
    <xf numFmtId="2" fontId="25" fillId="0" borderId="35" xfId="0" applyNumberFormat="1" applyFont="1" applyBorder="1" applyAlignment="1">
      <alignment/>
    </xf>
    <xf numFmtId="0" fontId="21" fillId="0" borderId="38" xfId="0" applyFont="1" applyBorder="1" applyAlignment="1">
      <alignment wrapText="1"/>
    </xf>
    <xf numFmtId="2" fontId="21" fillId="0" borderId="39" xfId="0" applyNumberFormat="1" applyFont="1" applyBorder="1" applyAlignment="1">
      <alignment horizontal="right" wrapText="1"/>
    </xf>
    <xf numFmtId="2" fontId="25" fillId="0" borderId="40" xfId="0" applyNumberFormat="1" applyFont="1" applyBorder="1" applyAlignment="1">
      <alignment/>
    </xf>
    <xf numFmtId="0" fontId="26" fillId="0" borderId="32" xfId="0" applyFont="1" applyBorder="1" applyAlignment="1">
      <alignment wrapText="1"/>
    </xf>
    <xf numFmtId="0" fontId="26" fillId="0" borderId="37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19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27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46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39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7" fillId="0" borderId="35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11" xfId="0" applyFont="1" applyBorder="1" applyAlignment="1">
      <alignment/>
    </xf>
    <xf numFmtId="2" fontId="28" fillId="0" borderId="35" xfId="0" applyNumberFormat="1" applyFont="1" applyBorder="1" applyAlignment="1">
      <alignment/>
    </xf>
    <xf numFmtId="0" fontId="22" fillId="0" borderId="0" xfId="0" applyFont="1" applyAlignment="1">
      <alignment/>
    </xf>
    <xf numFmtId="0" fontId="27" fillId="0" borderId="40" xfId="0" applyFont="1" applyBorder="1" applyAlignment="1">
      <alignment wrapText="1"/>
    </xf>
    <xf numFmtId="0" fontId="27" fillId="0" borderId="47" xfId="0" applyFont="1" applyBorder="1" applyAlignment="1">
      <alignment wrapText="1"/>
    </xf>
    <xf numFmtId="0" fontId="27" fillId="0" borderId="48" xfId="0" applyFont="1" applyBorder="1" applyAlignment="1">
      <alignment/>
    </xf>
    <xf numFmtId="0" fontId="27" fillId="0" borderId="47" xfId="0" applyFont="1" applyBorder="1" applyAlignment="1">
      <alignment/>
    </xf>
    <xf numFmtId="2" fontId="27" fillId="0" borderId="35" xfId="0" applyNumberFormat="1" applyFont="1" applyBorder="1" applyAlignment="1">
      <alignment/>
    </xf>
    <xf numFmtId="2" fontId="27" fillId="0" borderId="49" xfId="0" applyNumberFormat="1" applyFont="1" applyBorder="1" applyAlignment="1">
      <alignment/>
    </xf>
    <xf numFmtId="2" fontId="27" fillId="0" borderId="50" xfId="0" applyNumberFormat="1" applyFont="1" applyBorder="1" applyAlignment="1">
      <alignment/>
    </xf>
    <xf numFmtId="0" fontId="22" fillId="0" borderId="40" xfId="0" applyFont="1" applyBorder="1" applyAlignment="1">
      <alignment/>
    </xf>
    <xf numFmtId="0" fontId="26" fillId="0" borderId="51" xfId="0" applyFont="1" applyBorder="1" applyAlignment="1">
      <alignment wrapText="1"/>
    </xf>
    <xf numFmtId="0" fontId="27" fillId="0" borderId="41" xfId="0" applyFont="1" applyBorder="1" applyAlignment="1">
      <alignment/>
    </xf>
    <xf numFmtId="2" fontId="21" fillId="0" borderId="41" xfId="0" applyNumberFormat="1" applyFont="1" applyBorder="1" applyAlignment="1">
      <alignment/>
    </xf>
    <xf numFmtId="2" fontId="21" fillId="0" borderId="52" xfId="0" applyNumberFormat="1" applyFont="1" applyBorder="1" applyAlignment="1">
      <alignment/>
    </xf>
    <xf numFmtId="2" fontId="27" fillId="0" borderId="48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PageLayoutView="0" workbookViewId="0" topLeftCell="A1">
      <selection activeCell="Z8" sqref="Z8"/>
    </sheetView>
  </sheetViews>
  <sheetFormatPr defaultColWidth="9.00390625" defaultRowHeight="12.75"/>
  <cols>
    <col min="1" max="1" width="4.75390625" style="26" customWidth="1"/>
    <col min="2" max="2" width="19.375" style="0" customWidth="1"/>
    <col min="3" max="3" width="7.75390625" style="0" hidden="1" customWidth="1"/>
    <col min="4" max="4" width="7.625" style="0" hidden="1" customWidth="1"/>
    <col min="5" max="5" width="9.125" style="0" hidden="1" customWidth="1"/>
    <col min="6" max="6" width="9.25390625" style="0" hidden="1" customWidth="1"/>
    <col min="7" max="7" width="9.375" style="0" hidden="1" customWidth="1"/>
    <col min="8" max="8" width="9.625" style="0" hidden="1" customWidth="1"/>
    <col min="9" max="9" width="10.125" style="0" hidden="1" customWidth="1"/>
    <col min="10" max="10" width="9.125" style="0" hidden="1" customWidth="1"/>
    <col min="11" max="12" width="9.00390625" style="0" hidden="1" customWidth="1"/>
    <col min="13" max="13" width="8.625" style="0" customWidth="1"/>
    <col min="14" max="14" width="8.75390625" style="0" customWidth="1"/>
    <col min="15" max="15" width="9.25390625" style="0" customWidth="1"/>
    <col min="16" max="16" width="8.00390625" style="0" customWidth="1"/>
    <col min="17" max="17" width="8.625" style="0" customWidth="1"/>
    <col min="18" max="19" width="8.25390625" style="0" customWidth="1"/>
    <col min="20" max="20" width="8.125" style="0" customWidth="1"/>
    <col min="21" max="21" width="9.00390625" style="0" customWidth="1"/>
    <col min="22" max="22" width="8.75390625" style="0" customWidth="1"/>
    <col min="23" max="23" width="8.625" style="0" customWidth="1"/>
    <col min="24" max="24" width="8.25390625" style="0" customWidth="1"/>
    <col min="25" max="25" width="8.625" style="0" customWidth="1"/>
    <col min="26" max="26" width="10.00390625" style="0" customWidth="1"/>
  </cols>
  <sheetData>
    <row r="1" spans="2:31" ht="12.75" customHeight="1">
      <c r="B1" s="98" t="s">
        <v>64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2.75" customHeight="1">
      <c r="B2" s="98" t="s">
        <v>63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9"/>
      <c r="X2" s="99"/>
      <c r="Y2" s="99"/>
      <c r="Z2" s="4"/>
      <c r="AA2" s="4"/>
      <c r="AB2" s="4"/>
      <c r="AC2" s="4"/>
      <c r="AD2" s="4"/>
      <c r="AE2" s="4"/>
    </row>
    <row r="3" spans="2:31" ht="12.75" customHeight="1">
      <c r="B3" s="97" t="s">
        <v>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3"/>
      <c r="AB3" s="3"/>
      <c r="AC3" s="3"/>
      <c r="AD3" s="3"/>
      <c r="AE3" s="3"/>
    </row>
    <row r="4" spans="2:31" ht="15" customHeight="1">
      <c r="B4" s="96" t="s">
        <v>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2"/>
      <c r="AB4" s="2"/>
      <c r="AC4" s="2"/>
      <c r="AD4" s="2"/>
      <c r="AE4" s="2"/>
    </row>
    <row r="5" spans="2:31" ht="15.75" customHeight="1" thickBot="1">
      <c r="B5" s="96" t="s">
        <v>42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2"/>
      <c r="AB5" s="2"/>
      <c r="AC5" s="2"/>
      <c r="AD5" s="2"/>
      <c r="AE5" s="2"/>
    </row>
    <row r="6" spans="2:31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  <c r="AB6" s="2"/>
      <c r="AC6" s="2"/>
      <c r="AD6" s="2"/>
      <c r="AE6" s="2"/>
    </row>
    <row r="7" spans="1:31" ht="38.25" customHeight="1" thickBot="1">
      <c r="A7" s="34" t="s">
        <v>24</v>
      </c>
      <c r="B7" s="27" t="s">
        <v>4</v>
      </c>
      <c r="C7" s="37" t="s">
        <v>39</v>
      </c>
      <c r="D7" s="63" t="s">
        <v>43</v>
      </c>
      <c r="E7" s="49" t="s">
        <v>45</v>
      </c>
      <c r="F7" s="49" t="s">
        <v>49</v>
      </c>
      <c r="G7" s="49" t="s">
        <v>50</v>
      </c>
      <c r="H7" s="49" t="s">
        <v>52</v>
      </c>
      <c r="I7" s="49" t="s">
        <v>59</v>
      </c>
      <c r="J7" s="49" t="s">
        <v>60</v>
      </c>
      <c r="K7" s="49" t="s">
        <v>61</v>
      </c>
      <c r="L7" s="49" t="s">
        <v>62</v>
      </c>
      <c r="M7" s="6" t="s">
        <v>8</v>
      </c>
      <c r="N7" s="5" t="s">
        <v>9</v>
      </c>
      <c r="O7" s="5" t="s">
        <v>10</v>
      </c>
      <c r="P7" s="5" t="s">
        <v>11</v>
      </c>
      <c r="Q7" s="5" t="s">
        <v>12</v>
      </c>
      <c r="R7" s="5" t="s">
        <v>13</v>
      </c>
      <c r="S7" s="5" t="s">
        <v>14</v>
      </c>
      <c r="T7" s="5" t="s">
        <v>15</v>
      </c>
      <c r="U7" s="5" t="s">
        <v>16</v>
      </c>
      <c r="V7" s="5" t="s">
        <v>17</v>
      </c>
      <c r="W7" s="5" t="s">
        <v>19</v>
      </c>
      <c r="X7" s="15" t="s">
        <v>18</v>
      </c>
      <c r="Y7" s="49" t="s">
        <v>66</v>
      </c>
      <c r="Z7" s="44" t="s">
        <v>67</v>
      </c>
      <c r="AA7" s="1"/>
      <c r="AB7" s="1"/>
      <c r="AC7" s="1"/>
      <c r="AD7" s="1"/>
      <c r="AE7" s="1"/>
    </row>
    <row r="8" spans="1:26" ht="15" customHeight="1" thickBot="1">
      <c r="A8" s="35" t="s">
        <v>25</v>
      </c>
      <c r="B8" s="28" t="s">
        <v>1</v>
      </c>
      <c r="C8" s="59">
        <v>3944.16</v>
      </c>
      <c r="D8" s="64">
        <v>15776.64</v>
      </c>
      <c r="E8" s="60">
        <v>15776.64</v>
      </c>
      <c r="F8" s="59">
        <v>16221.52</v>
      </c>
      <c r="G8" s="60">
        <v>17248.23</v>
      </c>
      <c r="H8" s="59">
        <v>17260.68</v>
      </c>
      <c r="I8" s="59">
        <v>17260.68</v>
      </c>
      <c r="J8" s="59">
        <v>17260.68</v>
      </c>
      <c r="K8" s="91">
        <v>17260.68</v>
      </c>
      <c r="L8" s="59">
        <v>16150.68</v>
      </c>
      <c r="M8" s="7">
        <v>1343.94</v>
      </c>
      <c r="N8" s="7">
        <v>1343.94</v>
      </c>
      <c r="O8" s="7">
        <v>1343.94</v>
      </c>
      <c r="P8" s="7">
        <v>1343.94</v>
      </c>
      <c r="Q8" s="7">
        <v>1343.94</v>
      </c>
      <c r="R8" s="7">
        <v>1343.94</v>
      </c>
      <c r="S8" s="7">
        <v>1343.94</v>
      </c>
      <c r="T8" s="7">
        <v>1343.94</v>
      </c>
      <c r="U8" s="7">
        <v>1343.94</v>
      </c>
      <c r="V8" s="7">
        <v>1343.94</v>
      </c>
      <c r="W8" s="7">
        <v>1343.94</v>
      </c>
      <c r="X8" s="7">
        <v>1343.94</v>
      </c>
      <c r="Y8" s="53">
        <f>SUM(M8:X8)</f>
        <v>16127.280000000004</v>
      </c>
      <c r="Z8" s="54">
        <f>SUM(C8:X8)</f>
        <v>170287.87</v>
      </c>
    </row>
    <row r="9" spans="1:26" s="82" customFormat="1" ht="13.5" thickBot="1">
      <c r="A9" s="76" t="s">
        <v>26</v>
      </c>
      <c r="B9" s="77" t="s">
        <v>2</v>
      </c>
      <c r="C9" s="78">
        <f aca="true" t="shared" si="0" ref="C9:M9">SUM(C10:C18)</f>
        <v>2087.7000000000003</v>
      </c>
      <c r="D9" s="79">
        <f t="shared" si="0"/>
        <v>14608.779999999999</v>
      </c>
      <c r="E9" s="78">
        <f t="shared" si="0"/>
        <v>14178.86</v>
      </c>
      <c r="F9" s="78">
        <f t="shared" si="0"/>
        <v>18388.430000000004</v>
      </c>
      <c r="G9" s="78">
        <f t="shared" si="0"/>
        <v>16010.23</v>
      </c>
      <c r="H9" s="78">
        <f>SUM(H10:H18)</f>
        <v>9981.94</v>
      </c>
      <c r="I9" s="78">
        <f>SUM(I10:I18)</f>
        <v>15228.77</v>
      </c>
      <c r="J9" s="78">
        <f>SUM(J10:J18)</f>
        <v>14000.16</v>
      </c>
      <c r="K9" s="92">
        <f t="shared" si="0"/>
        <v>14177.63</v>
      </c>
      <c r="L9" s="78">
        <f t="shared" si="0"/>
        <v>14805.550000000001</v>
      </c>
      <c r="M9" s="80">
        <f t="shared" si="0"/>
        <v>1337.39</v>
      </c>
      <c r="N9" s="80">
        <f aca="true" t="shared" si="1" ref="N9:X9">SUM(N10:N18)</f>
        <v>1242.53</v>
      </c>
      <c r="O9" s="80">
        <f t="shared" si="1"/>
        <v>1261.82</v>
      </c>
      <c r="P9" s="80">
        <f t="shared" si="1"/>
        <v>1235.49</v>
      </c>
      <c r="Q9" s="80">
        <f t="shared" si="1"/>
        <v>1280.5899999999997</v>
      </c>
      <c r="R9" s="80">
        <f t="shared" si="1"/>
        <v>1249.1900000000003</v>
      </c>
      <c r="S9" s="80">
        <f t="shared" si="1"/>
        <v>1415.7699999999998</v>
      </c>
      <c r="T9" s="80">
        <f t="shared" si="1"/>
        <v>1406.13</v>
      </c>
      <c r="U9" s="80">
        <f t="shared" si="1"/>
        <v>1455.49</v>
      </c>
      <c r="V9" s="80">
        <f t="shared" si="1"/>
        <v>1541.31</v>
      </c>
      <c r="W9" s="80">
        <f t="shared" si="1"/>
        <v>1593.03</v>
      </c>
      <c r="X9" s="79">
        <f t="shared" si="1"/>
        <v>1648.4100000000003</v>
      </c>
      <c r="Y9" s="78">
        <f>SUM(M9:X9)</f>
        <v>16667.15</v>
      </c>
      <c r="Z9" s="81">
        <f>SUM(C9:X9)</f>
        <v>150135.2</v>
      </c>
    </row>
    <row r="10" spans="1:26" ht="13.5" thickBot="1">
      <c r="A10" s="35" t="s">
        <v>27</v>
      </c>
      <c r="B10" s="29" t="s">
        <v>65</v>
      </c>
      <c r="C10" s="41">
        <v>15.32</v>
      </c>
      <c r="D10" s="65">
        <v>3295.91</v>
      </c>
      <c r="E10" s="41">
        <v>1999.36</v>
      </c>
      <c r="F10" s="41">
        <v>3404.86</v>
      </c>
      <c r="G10" s="41">
        <v>1926.36</v>
      </c>
      <c r="H10" s="41">
        <v>774.66</v>
      </c>
      <c r="I10" s="41">
        <v>339.01</v>
      </c>
      <c r="J10" s="41">
        <v>223.05</v>
      </c>
      <c r="K10" s="65">
        <v>258.67</v>
      </c>
      <c r="L10" s="41">
        <v>37.28</v>
      </c>
      <c r="M10" s="7"/>
      <c r="N10" s="8">
        <v>2.43</v>
      </c>
      <c r="O10" s="8">
        <v>2.83</v>
      </c>
      <c r="P10" s="8">
        <v>3.17</v>
      </c>
      <c r="Q10" s="8">
        <v>5.08</v>
      </c>
      <c r="R10" s="8">
        <v>3.74</v>
      </c>
      <c r="S10" s="8">
        <v>5.92</v>
      </c>
      <c r="T10" s="8">
        <v>6.13</v>
      </c>
      <c r="U10" s="8">
        <v>12.13</v>
      </c>
      <c r="V10" s="8">
        <v>5.2</v>
      </c>
      <c r="W10" s="8">
        <v>0.39</v>
      </c>
      <c r="X10" s="16">
        <v>0.51</v>
      </c>
      <c r="Y10" s="51">
        <f aca="true" t="shared" si="2" ref="Y10:Y20">SUM(M10:X10)</f>
        <v>47.53</v>
      </c>
      <c r="Z10" s="55">
        <f aca="true" t="shared" si="3" ref="Z10:Z18">SUM(C10:X10)</f>
        <v>12322.01</v>
      </c>
    </row>
    <row r="11" spans="1:26" ht="14.25" customHeight="1" thickBot="1">
      <c r="A11" s="35" t="s">
        <v>28</v>
      </c>
      <c r="B11" s="30" t="s">
        <v>54</v>
      </c>
      <c r="C11" s="42">
        <v>29.14</v>
      </c>
      <c r="D11" s="66">
        <v>1594.57</v>
      </c>
      <c r="E11" s="42">
        <v>851.58</v>
      </c>
      <c r="F11" s="42">
        <v>3163.22</v>
      </c>
      <c r="G11" s="42">
        <v>1907</v>
      </c>
      <c r="H11" s="42">
        <v>3727.63</v>
      </c>
      <c r="I11" s="42">
        <v>1081.38</v>
      </c>
      <c r="J11" s="42">
        <v>797.84</v>
      </c>
      <c r="K11" s="66">
        <v>0</v>
      </c>
      <c r="L11" s="42">
        <v>0</v>
      </c>
      <c r="M11" s="9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7"/>
      <c r="Y11" s="51">
        <f t="shared" si="2"/>
        <v>0</v>
      </c>
      <c r="Z11" s="55">
        <f t="shared" si="3"/>
        <v>13152.36</v>
      </c>
    </row>
    <row r="12" spans="1:26" ht="18" customHeight="1" thickBot="1">
      <c r="A12" s="35" t="s">
        <v>29</v>
      </c>
      <c r="B12" s="30" t="s">
        <v>53</v>
      </c>
      <c r="C12" s="42">
        <v>22</v>
      </c>
      <c r="D12" s="66">
        <v>309.38</v>
      </c>
      <c r="E12" s="42">
        <v>116.03</v>
      </c>
      <c r="F12" s="42">
        <v>0</v>
      </c>
      <c r="G12" s="42">
        <v>96.58</v>
      </c>
      <c r="H12" s="42">
        <v>152.23</v>
      </c>
      <c r="I12" s="42">
        <v>915.86</v>
      </c>
      <c r="J12" s="42">
        <v>95</v>
      </c>
      <c r="K12" s="66">
        <v>145</v>
      </c>
      <c r="L12" s="42">
        <v>200</v>
      </c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7"/>
      <c r="Y12" s="51">
        <f t="shared" si="2"/>
        <v>0</v>
      </c>
      <c r="Z12" s="55">
        <f t="shared" si="3"/>
        <v>2052.08</v>
      </c>
    </row>
    <row r="13" spans="1:26" ht="23.25" customHeight="1" thickBot="1">
      <c r="A13" s="35" t="s">
        <v>30</v>
      </c>
      <c r="B13" s="30" t="s">
        <v>46</v>
      </c>
      <c r="C13" s="42">
        <v>121</v>
      </c>
      <c r="D13" s="66">
        <v>0</v>
      </c>
      <c r="E13" s="42">
        <v>256</v>
      </c>
      <c r="F13" s="42">
        <v>0</v>
      </c>
      <c r="G13" s="42">
        <v>4.36</v>
      </c>
      <c r="H13" s="42">
        <v>0</v>
      </c>
      <c r="I13" s="42">
        <v>51</v>
      </c>
      <c r="J13" s="42">
        <v>8</v>
      </c>
      <c r="K13" s="66">
        <v>0</v>
      </c>
      <c r="L13" s="42">
        <v>19.69</v>
      </c>
      <c r="M13" s="9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7"/>
      <c r="Y13" s="51">
        <f t="shared" si="2"/>
        <v>0</v>
      </c>
      <c r="Z13" s="55">
        <f t="shared" si="3"/>
        <v>460.05</v>
      </c>
    </row>
    <row r="14" spans="1:26" ht="37.5" customHeight="1" thickBot="1">
      <c r="A14" s="35" t="s">
        <v>31</v>
      </c>
      <c r="B14" s="30" t="s">
        <v>55</v>
      </c>
      <c r="C14" s="42">
        <v>125.19</v>
      </c>
      <c r="D14" s="66">
        <v>769.13</v>
      </c>
      <c r="E14" s="42">
        <v>1294.2</v>
      </c>
      <c r="F14" s="42">
        <v>1343.98</v>
      </c>
      <c r="G14" s="42">
        <v>705.81</v>
      </c>
      <c r="H14" s="42">
        <v>832.88</v>
      </c>
      <c r="I14" s="42">
        <v>880.75</v>
      </c>
      <c r="J14" s="42">
        <v>892.82</v>
      </c>
      <c r="K14" s="66">
        <v>940.38</v>
      </c>
      <c r="L14" s="42">
        <v>758.06</v>
      </c>
      <c r="M14" s="9">
        <v>55.58</v>
      </c>
      <c r="N14" s="10">
        <v>49.82</v>
      </c>
      <c r="O14" s="10">
        <v>61.94</v>
      </c>
      <c r="P14" s="10">
        <v>48.43</v>
      </c>
      <c r="Q14" s="10">
        <v>50.11</v>
      </c>
      <c r="R14" s="10">
        <v>50.57</v>
      </c>
      <c r="S14" s="10">
        <v>58.49</v>
      </c>
      <c r="T14" s="10">
        <v>72.89</v>
      </c>
      <c r="U14" s="10">
        <v>69.95</v>
      </c>
      <c r="V14" s="10">
        <v>81.3</v>
      </c>
      <c r="W14" s="10">
        <v>75.61</v>
      </c>
      <c r="X14" s="17">
        <v>69.02</v>
      </c>
      <c r="Y14" s="51">
        <f t="shared" si="2"/>
        <v>743.7099999999999</v>
      </c>
      <c r="Z14" s="55">
        <f t="shared" si="3"/>
        <v>9286.91</v>
      </c>
    </row>
    <row r="15" spans="1:26" ht="36.75" customHeight="1" thickBot="1">
      <c r="A15" s="35" t="s">
        <v>32</v>
      </c>
      <c r="B15" s="30" t="s">
        <v>56</v>
      </c>
      <c r="C15" s="42">
        <v>176.06</v>
      </c>
      <c r="D15" s="66">
        <v>418.7</v>
      </c>
      <c r="E15" s="42">
        <v>125.57</v>
      </c>
      <c r="F15" s="42">
        <v>92.08</v>
      </c>
      <c r="G15" s="42">
        <v>212.38</v>
      </c>
      <c r="H15" s="42">
        <v>143.53</v>
      </c>
      <c r="I15" s="42">
        <v>125.3</v>
      </c>
      <c r="J15" s="42">
        <v>97.88</v>
      </c>
      <c r="K15" s="66">
        <v>94.86</v>
      </c>
      <c r="L15" s="42">
        <v>85.8</v>
      </c>
      <c r="M15" s="9">
        <v>3.19</v>
      </c>
      <c r="N15" s="10">
        <v>4.52</v>
      </c>
      <c r="O15" s="10">
        <v>4.33</v>
      </c>
      <c r="P15" s="10">
        <v>4.33</v>
      </c>
      <c r="Q15" s="10">
        <v>4.22</v>
      </c>
      <c r="R15" s="10">
        <v>3.69</v>
      </c>
      <c r="S15" s="10">
        <v>8.32</v>
      </c>
      <c r="T15" s="10">
        <v>4.32</v>
      </c>
      <c r="U15" s="10">
        <v>2.64</v>
      </c>
      <c r="V15" s="10">
        <v>7.96</v>
      </c>
      <c r="W15" s="10">
        <v>3.42</v>
      </c>
      <c r="X15" s="17">
        <v>9.32</v>
      </c>
      <c r="Y15" s="51">
        <f t="shared" si="2"/>
        <v>60.26</v>
      </c>
      <c r="Z15" s="55">
        <f t="shared" si="3"/>
        <v>1632.4199999999998</v>
      </c>
    </row>
    <row r="16" spans="1:26" ht="33" customHeight="1" thickBot="1">
      <c r="A16" s="35" t="s">
        <v>33</v>
      </c>
      <c r="B16" s="30" t="s">
        <v>57</v>
      </c>
      <c r="C16" s="42">
        <v>18.57</v>
      </c>
      <c r="D16" s="66">
        <v>691.77</v>
      </c>
      <c r="E16" s="42">
        <v>652.83</v>
      </c>
      <c r="F16" s="42">
        <v>900.12</v>
      </c>
      <c r="G16" s="42">
        <v>822.98</v>
      </c>
      <c r="H16" s="42">
        <v>1076.9</v>
      </c>
      <c r="I16" s="42">
        <v>916.48</v>
      </c>
      <c r="J16" s="42">
        <v>965.32</v>
      </c>
      <c r="K16" s="66">
        <v>1057.46</v>
      </c>
      <c r="L16" s="42">
        <v>1144.69</v>
      </c>
      <c r="M16" s="9">
        <f>2.27+29.9+48.76</f>
        <v>80.93</v>
      </c>
      <c r="N16" s="10">
        <f>2.36+35.13+52.32</f>
        <v>89.81</v>
      </c>
      <c r="O16" s="10">
        <f>2.25+31.69+53.63</f>
        <v>87.57</v>
      </c>
      <c r="P16" s="10">
        <f>2.79+37.28+50.07</f>
        <v>90.14</v>
      </c>
      <c r="Q16" s="10">
        <f>2.35+46.58+49.7</f>
        <v>98.63</v>
      </c>
      <c r="R16" s="10">
        <f>2.28+39.32+46.87</f>
        <v>88.47</v>
      </c>
      <c r="S16" s="10">
        <f>2.46+32.09+47.55</f>
        <v>82.1</v>
      </c>
      <c r="T16" s="10">
        <f>46.15+2.33+32.36</f>
        <v>80.84</v>
      </c>
      <c r="U16" s="10">
        <f>41.71+71.26</f>
        <v>112.97</v>
      </c>
      <c r="V16" s="10">
        <f>2.45+69.66+69.35</f>
        <v>141.45999999999998</v>
      </c>
      <c r="W16" s="10">
        <f>2.7+55.94+66.77</f>
        <v>125.41</v>
      </c>
      <c r="X16" s="17">
        <f>3.04+77.73+61.26</f>
        <v>142.03</v>
      </c>
      <c r="Y16" s="51">
        <f t="shared" si="2"/>
        <v>1220.3600000000001</v>
      </c>
      <c r="Z16" s="55">
        <f t="shared" si="3"/>
        <v>9467.479999999996</v>
      </c>
    </row>
    <row r="17" spans="1:26" ht="18.75" customHeight="1" thickBot="1">
      <c r="A17" s="35" t="s">
        <v>47</v>
      </c>
      <c r="B17" s="30" t="s">
        <v>6</v>
      </c>
      <c r="C17" s="42">
        <v>1474.38</v>
      </c>
      <c r="D17" s="66">
        <v>6502.62</v>
      </c>
      <c r="E17" s="42">
        <v>8200.03</v>
      </c>
      <c r="F17" s="42">
        <v>8888.29</v>
      </c>
      <c r="G17" s="42">
        <v>9683.98</v>
      </c>
      <c r="H17" s="42">
        <v>2609.96</v>
      </c>
      <c r="I17" s="42">
        <v>10279.68</v>
      </c>
      <c r="J17" s="42">
        <v>10268.53</v>
      </c>
      <c r="K17" s="66">
        <v>11017.13</v>
      </c>
      <c r="L17" s="42">
        <v>11946.62</v>
      </c>
      <c r="M17" s="9">
        <f>1337.39-190.45</f>
        <v>1146.94</v>
      </c>
      <c r="N17" s="10">
        <f>1242.53-197.33</f>
        <v>1045.2</v>
      </c>
      <c r="O17" s="10">
        <f>1261.82-195.75</f>
        <v>1066.07</v>
      </c>
      <c r="P17" s="10">
        <f>1235.49-196.38</f>
        <v>1039.1100000000001</v>
      </c>
      <c r="Q17" s="10">
        <f>1280.59-220.89</f>
        <v>1059.6999999999998</v>
      </c>
      <c r="R17" s="10">
        <f>1249.19-185.85</f>
        <v>1063.3400000000001</v>
      </c>
      <c r="S17" s="10">
        <f>1415.77-216.95</f>
        <v>1198.82</v>
      </c>
      <c r="T17" s="10">
        <f>1406.13-214.93</f>
        <v>1191.2</v>
      </c>
      <c r="U17" s="10">
        <f>1455.49-236.77</f>
        <v>1218.72</v>
      </c>
      <c r="V17" s="10">
        <f>1541.31-298.34</f>
        <v>1242.97</v>
      </c>
      <c r="W17" s="10">
        <f>1593.03-255.56</f>
        <v>1337.47</v>
      </c>
      <c r="X17" s="17">
        <f>1648.41-271.63</f>
        <v>1376.7800000000002</v>
      </c>
      <c r="Y17" s="51">
        <f t="shared" si="2"/>
        <v>13986.319999999998</v>
      </c>
      <c r="Z17" s="55">
        <f t="shared" si="3"/>
        <v>94857.54000000001</v>
      </c>
    </row>
    <row r="18" spans="1:26" ht="17.25" customHeight="1" thickBot="1">
      <c r="A18" s="35" t="s">
        <v>48</v>
      </c>
      <c r="B18" s="31" t="s">
        <v>3</v>
      </c>
      <c r="C18" s="43">
        <v>106.04</v>
      </c>
      <c r="D18" s="67">
        <v>1026.7</v>
      </c>
      <c r="E18" s="43">
        <v>683.26</v>
      </c>
      <c r="F18" s="43">
        <v>595.88</v>
      </c>
      <c r="G18" s="43">
        <v>650.78</v>
      </c>
      <c r="H18" s="43">
        <v>664.15</v>
      </c>
      <c r="I18" s="43">
        <v>639.31</v>
      </c>
      <c r="J18" s="43">
        <v>651.72</v>
      </c>
      <c r="K18" s="67">
        <v>664.13</v>
      </c>
      <c r="L18" s="43">
        <v>613.41</v>
      </c>
      <c r="M18" s="11">
        <v>50.75</v>
      </c>
      <c r="N18" s="12">
        <v>50.75</v>
      </c>
      <c r="O18" s="12">
        <v>39.08</v>
      </c>
      <c r="P18" s="12">
        <v>50.31</v>
      </c>
      <c r="Q18" s="12">
        <v>62.85</v>
      </c>
      <c r="R18" s="12">
        <v>39.38</v>
      </c>
      <c r="S18" s="12">
        <v>62.12</v>
      </c>
      <c r="T18" s="12">
        <v>50.75</v>
      </c>
      <c r="U18" s="12">
        <v>39.08</v>
      </c>
      <c r="V18" s="12">
        <v>62.42</v>
      </c>
      <c r="W18" s="12">
        <v>50.73</v>
      </c>
      <c r="X18" s="19">
        <v>50.75</v>
      </c>
      <c r="Y18" s="51">
        <f t="shared" si="2"/>
        <v>608.97</v>
      </c>
      <c r="Z18" s="55">
        <f t="shared" si="3"/>
        <v>6904.35</v>
      </c>
    </row>
    <row r="19" spans="1:26" ht="17.25" customHeight="1" thickBot="1">
      <c r="A19" s="35"/>
      <c r="B19" s="38" t="s">
        <v>51</v>
      </c>
      <c r="C19" s="69"/>
      <c r="D19" s="70"/>
      <c r="E19" s="69"/>
      <c r="F19" s="69"/>
      <c r="G19" s="71">
        <f aca="true" t="shared" si="4" ref="G19:M19">G8*5%</f>
        <v>862.4115</v>
      </c>
      <c r="H19" s="71">
        <f t="shared" si="4"/>
        <v>863.0340000000001</v>
      </c>
      <c r="I19" s="71">
        <f t="shared" si="4"/>
        <v>863.0340000000001</v>
      </c>
      <c r="J19" s="72">
        <f t="shared" si="4"/>
        <v>863.0340000000001</v>
      </c>
      <c r="K19" s="93">
        <f t="shared" si="4"/>
        <v>863.0340000000001</v>
      </c>
      <c r="L19" s="72">
        <f>L8*5%</f>
        <v>807.5340000000001</v>
      </c>
      <c r="M19" s="71">
        <f t="shared" si="4"/>
        <v>67.197</v>
      </c>
      <c r="N19" s="71">
        <f aca="true" t="shared" si="5" ref="N19:X19">N8*5%</f>
        <v>67.197</v>
      </c>
      <c r="O19" s="71">
        <f t="shared" si="5"/>
        <v>67.197</v>
      </c>
      <c r="P19" s="71">
        <f t="shared" si="5"/>
        <v>67.197</v>
      </c>
      <c r="Q19" s="71">
        <f t="shared" si="5"/>
        <v>67.197</v>
      </c>
      <c r="R19" s="71">
        <f t="shared" si="5"/>
        <v>67.197</v>
      </c>
      <c r="S19" s="71">
        <f t="shared" si="5"/>
        <v>67.197</v>
      </c>
      <c r="T19" s="71">
        <f t="shared" si="5"/>
        <v>67.197</v>
      </c>
      <c r="U19" s="71">
        <f t="shared" si="5"/>
        <v>67.197</v>
      </c>
      <c r="V19" s="71">
        <f t="shared" si="5"/>
        <v>67.197</v>
      </c>
      <c r="W19" s="71">
        <f t="shared" si="5"/>
        <v>67.197</v>
      </c>
      <c r="X19" s="71">
        <f t="shared" si="5"/>
        <v>67.197</v>
      </c>
      <c r="Y19" s="72">
        <f t="shared" si="2"/>
        <v>806.364</v>
      </c>
      <c r="Z19" s="58"/>
    </row>
    <row r="20" spans="1:26" ht="15" customHeight="1" thickBot="1">
      <c r="A20" s="35" t="s">
        <v>34</v>
      </c>
      <c r="B20" s="56" t="s">
        <v>44</v>
      </c>
      <c r="C20" s="57"/>
      <c r="D20" s="68"/>
      <c r="E20" s="57"/>
      <c r="F20" s="57"/>
      <c r="G20" s="57"/>
      <c r="H20" s="57"/>
      <c r="I20" s="57"/>
      <c r="J20" s="75">
        <f aca="true" t="shared" si="6" ref="J20:X20">SUM(J8-J9)-J19</f>
        <v>2397.4860000000003</v>
      </c>
      <c r="K20" s="94">
        <f t="shared" si="6"/>
        <v>2220.016000000001</v>
      </c>
      <c r="L20" s="75">
        <f>SUM(L8-L9)-L19</f>
        <v>537.5959999999991</v>
      </c>
      <c r="M20" s="73">
        <f t="shared" si="6"/>
        <v>-60.64700000000005</v>
      </c>
      <c r="N20" s="73">
        <f t="shared" si="6"/>
        <v>34.21300000000008</v>
      </c>
      <c r="O20" s="73">
        <f t="shared" si="6"/>
        <v>14.923000000000116</v>
      </c>
      <c r="P20" s="73">
        <f t="shared" si="6"/>
        <v>41.25300000000004</v>
      </c>
      <c r="Q20" s="73">
        <f t="shared" si="6"/>
        <v>-3.846999999999639</v>
      </c>
      <c r="R20" s="73">
        <f t="shared" si="6"/>
        <v>27.55299999999977</v>
      </c>
      <c r="S20" s="73">
        <f t="shared" si="6"/>
        <v>-139.0269999999997</v>
      </c>
      <c r="T20" s="73">
        <f t="shared" si="6"/>
        <v>-129.38700000000006</v>
      </c>
      <c r="U20" s="73">
        <f t="shared" si="6"/>
        <v>-178.74699999999996</v>
      </c>
      <c r="V20" s="73">
        <f t="shared" si="6"/>
        <v>-264.5669999999999</v>
      </c>
      <c r="W20" s="73">
        <f t="shared" si="6"/>
        <v>-316.2869999999999</v>
      </c>
      <c r="X20" s="73">
        <f t="shared" si="6"/>
        <v>-371.66700000000026</v>
      </c>
      <c r="Y20" s="72">
        <f t="shared" si="2"/>
        <v>-1346.2339999999995</v>
      </c>
      <c r="Z20" s="58"/>
    </row>
    <row r="21" spans="1:26" ht="21.75" customHeight="1" thickBot="1">
      <c r="A21" s="76" t="s">
        <v>35</v>
      </c>
      <c r="B21" s="83" t="s">
        <v>20</v>
      </c>
      <c r="C21" s="84">
        <v>1856.46</v>
      </c>
      <c r="D21" s="85">
        <f>SUM(D8-D9)</f>
        <v>1167.8600000000006</v>
      </c>
      <c r="E21" s="86">
        <f>SUM(E8-E9)</f>
        <v>1597.7799999999988</v>
      </c>
      <c r="F21" s="86">
        <f>SUM(F8-F9)</f>
        <v>-2166.9100000000035</v>
      </c>
      <c r="G21" s="87">
        <f aca="true" t="shared" si="7" ref="G21:M21">SUM(G8-G9)-G19</f>
        <v>375.58849999999995</v>
      </c>
      <c r="H21" s="87">
        <f t="shared" si="7"/>
        <v>6415.706</v>
      </c>
      <c r="I21" s="87">
        <f t="shared" si="7"/>
        <v>1168.8759999999997</v>
      </c>
      <c r="J21" s="87">
        <f t="shared" si="7"/>
        <v>2397.4860000000003</v>
      </c>
      <c r="K21" s="95">
        <f t="shared" si="7"/>
        <v>2220.016000000001</v>
      </c>
      <c r="L21" s="87">
        <f>SUM(L8-L9)-L19</f>
        <v>537.5959999999991</v>
      </c>
      <c r="M21" s="88">
        <f t="shared" si="7"/>
        <v>-60.64700000000005</v>
      </c>
      <c r="N21" s="89">
        <f>SUM(N20+M21)</f>
        <v>-26.43399999999997</v>
      </c>
      <c r="O21" s="89">
        <f aca="true" t="shared" si="8" ref="O21:X21">SUM(O20+N21)</f>
        <v>-11.510999999999854</v>
      </c>
      <c r="P21" s="89">
        <f t="shared" si="8"/>
        <v>29.74200000000019</v>
      </c>
      <c r="Q21" s="89">
        <f t="shared" si="8"/>
        <v>25.89500000000055</v>
      </c>
      <c r="R21" s="89">
        <f t="shared" si="8"/>
        <v>53.44800000000032</v>
      </c>
      <c r="S21" s="89">
        <f t="shared" si="8"/>
        <v>-85.57899999999938</v>
      </c>
      <c r="T21" s="89">
        <f t="shared" si="8"/>
        <v>-214.96599999999944</v>
      </c>
      <c r="U21" s="89">
        <f t="shared" si="8"/>
        <v>-393.7129999999994</v>
      </c>
      <c r="V21" s="89">
        <f t="shared" si="8"/>
        <v>-658.2799999999993</v>
      </c>
      <c r="W21" s="89">
        <f t="shared" si="8"/>
        <v>-974.5669999999992</v>
      </c>
      <c r="X21" s="89">
        <f t="shared" si="8"/>
        <v>-1346.2339999999995</v>
      </c>
      <c r="Y21" s="86"/>
      <c r="Z21" s="90"/>
    </row>
    <row r="22" spans="1:26" ht="21" customHeight="1" thickBot="1">
      <c r="A22" s="35" t="s">
        <v>36</v>
      </c>
      <c r="B22" s="38" t="s">
        <v>21</v>
      </c>
      <c r="C22" s="38">
        <v>1856.46</v>
      </c>
      <c r="D22" s="18">
        <f>SUM(D8-D9,C22)</f>
        <v>3024.3200000000006</v>
      </c>
      <c r="E22" s="51">
        <f>SUM(E8-E9,D22)</f>
        <v>4622.099999999999</v>
      </c>
      <c r="F22" s="51">
        <f>SUM(F8-F9,E22)</f>
        <v>2455.189999999996</v>
      </c>
      <c r="G22" s="71">
        <f aca="true" t="shared" si="9" ref="G22:M22">SUM(G21+F22)</f>
        <v>2830.778499999996</v>
      </c>
      <c r="H22" s="71">
        <f t="shared" si="9"/>
        <v>9246.484499999995</v>
      </c>
      <c r="I22" s="71">
        <f t="shared" si="9"/>
        <v>10415.360499999995</v>
      </c>
      <c r="J22" s="71">
        <f t="shared" si="9"/>
        <v>12812.846499999996</v>
      </c>
      <c r="K22" s="71">
        <f t="shared" si="9"/>
        <v>15032.862499999997</v>
      </c>
      <c r="L22" s="71">
        <f t="shared" si="9"/>
        <v>15570.458499999997</v>
      </c>
      <c r="M22" s="71">
        <f t="shared" si="9"/>
        <v>15509.811499999996</v>
      </c>
      <c r="N22" s="74">
        <f>SUM(N20+M22)</f>
        <v>15544.024499999996</v>
      </c>
      <c r="O22" s="74">
        <f aca="true" t="shared" si="10" ref="O22:W22">SUM(O20+N22)</f>
        <v>15558.947499999997</v>
      </c>
      <c r="P22" s="74">
        <f t="shared" si="10"/>
        <v>15600.200499999997</v>
      </c>
      <c r="Q22" s="74">
        <f t="shared" si="10"/>
        <v>15596.353499999997</v>
      </c>
      <c r="R22" s="74">
        <f t="shared" si="10"/>
        <v>15623.906499999997</v>
      </c>
      <c r="S22" s="74">
        <f t="shared" si="10"/>
        <v>15484.879499999997</v>
      </c>
      <c r="T22" s="74">
        <f t="shared" si="10"/>
        <v>15355.492499999997</v>
      </c>
      <c r="U22" s="74">
        <f t="shared" si="10"/>
        <v>15176.745499999997</v>
      </c>
      <c r="V22" s="74">
        <f t="shared" si="10"/>
        <v>14912.178499999998</v>
      </c>
      <c r="W22" s="74">
        <f t="shared" si="10"/>
        <v>14595.891499999998</v>
      </c>
      <c r="X22" s="74">
        <f>SUM(X20+W22)</f>
        <v>14224.224499999998</v>
      </c>
      <c r="Y22" s="51"/>
      <c r="Z22" s="45"/>
    </row>
    <row r="23" spans="1:26" ht="8.25" customHeight="1" hidden="1" thickBot="1">
      <c r="A23" s="35" t="s">
        <v>36</v>
      </c>
      <c r="B23" s="38" t="s">
        <v>5</v>
      </c>
      <c r="C23" s="39"/>
      <c r="D23" s="39"/>
      <c r="E23" s="61"/>
      <c r="F23" s="61"/>
      <c r="G23" s="61"/>
      <c r="H23" s="61"/>
      <c r="I23" s="61"/>
      <c r="J23" s="61"/>
      <c r="K23" s="61"/>
      <c r="L23" s="61"/>
      <c r="M23" s="13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20"/>
      <c r="Y23" s="50"/>
      <c r="Z23" s="46"/>
    </row>
    <row r="24" spans="1:26" ht="15" customHeight="1" hidden="1" thickBot="1">
      <c r="A24" s="35" t="s">
        <v>37</v>
      </c>
      <c r="B24" s="32" t="s">
        <v>22</v>
      </c>
      <c r="C24" s="39"/>
      <c r="D24" s="39"/>
      <c r="E24" s="61"/>
      <c r="F24" s="61"/>
      <c r="G24" s="61"/>
      <c r="H24" s="61"/>
      <c r="I24" s="61"/>
      <c r="J24" s="61"/>
      <c r="K24" s="61"/>
      <c r="L24" s="61"/>
      <c r="M24" s="13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20"/>
      <c r="Y24" s="51"/>
      <c r="Z24" s="47"/>
    </row>
    <row r="25" spans="1:26" ht="24" customHeight="1" hidden="1" thickBot="1">
      <c r="A25" s="36" t="s">
        <v>38</v>
      </c>
      <c r="B25" s="33" t="s">
        <v>41</v>
      </c>
      <c r="C25" s="40"/>
      <c r="D25" s="40"/>
      <c r="E25" s="62"/>
      <c r="F25" s="62"/>
      <c r="G25" s="62"/>
      <c r="H25" s="62"/>
      <c r="I25" s="62"/>
      <c r="J25" s="62"/>
      <c r="K25" s="62"/>
      <c r="L25" s="62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5">
        <f>SUM(X21-X23)</f>
        <v>-1346.2339999999995</v>
      </c>
      <c r="Y25" s="52"/>
      <c r="Z25" s="48"/>
    </row>
    <row r="26" spans="1:26" ht="22.5" customHeight="1" hidden="1" thickBot="1">
      <c r="A26" s="36" t="s">
        <v>40</v>
      </c>
      <c r="B26" s="33" t="s">
        <v>23</v>
      </c>
      <c r="C26" s="40"/>
      <c r="D26" s="40"/>
      <c r="E26" s="62"/>
      <c r="F26" s="62"/>
      <c r="G26" s="62"/>
      <c r="H26" s="62"/>
      <c r="I26" s="62"/>
      <c r="J26" s="62"/>
      <c r="K26" s="62"/>
      <c r="L26" s="62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5">
        <f>SUM(X22-X23)</f>
        <v>14224.224499999998</v>
      </c>
      <c r="Y26" s="52"/>
      <c r="Z26" s="48"/>
    </row>
    <row r="27" spans="3:26" ht="24" customHeight="1" hidden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3"/>
    </row>
    <row r="29" ht="12.75" hidden="1"/>
    <row r="30" ht="12.75" hidden="1"/>
    <row r="31" ht="12.75" hidden="1"/>
    <row r="32" ht="12.75">
      <c r="B32" t="s">
        <v>58</v>
      </c>
    </row>
    <row r="36" ht="12.75" customHeight="1"/>
    <row r="37" ht="12.75" customHeight="1"/>
  </sheetData>
  <sheetProtection/>
  <mergeCells count="5">
    <mergeCell ref="B4:Z4"/>
    <mergeCell ref="B5:Z5"/>
    <mergeCell ref="B3:Z3"/>
    <mergeCell ref="B1:O1"/>
    <mergeCell ref="B2:Y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2020-02-20T12:49:35Z</cp:lastPrinted>
  <dcterms:created xsi:type="dcterms:W3CDTF">2011-06-16T11:06:26Z</dcterms:created>
  <dcterms:modified xsi:type="dcterms:W3CDTF">2021-02-25T06:05:48Z</dcterms:modified>
  <cp:category/>
  <cp:version/>
  <cp:contentType/>
  <cp:contentStatus/>
</cp:coreProperties>
</file>