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<sst xmlns="http://schemas.openxmlformats.org/spreadsheetml/2006/main" count="79" uniqueCount="78">
  <si>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</si>
  <si>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</si>
  <si>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</si>
  <si>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</si>
  <si>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</si>
  <si>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</si>
  <si>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</si>
  <si>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</si>
  <si>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</si>
  <si>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</si>
  <si>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</si>
  <si>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</si>
  <si>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</si>
  <si>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</si>
  <si>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</si>
  <si>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</si>
  <si>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</si>
  <si>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</si>
  <si>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</si>
  <si>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</si>
  <si>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</si>
  <si>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</si>
  <si>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</si>
  <si>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</si>
  <si>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</si>
  <si>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</si>
  <si>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</si>
  <si>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</si>
  <si>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</si>
  <si>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</si>
  <si>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</si>
  <si>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</si>
  <si>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</si>
  <si>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</si>
  <si>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</si>
  <si>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</si>
  <si>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</si>
  <si>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</si>
  <si>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</si>
  <si>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</si>
  <si>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</si>
  <si>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</si>
  <si>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</si>
  <si>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</si>
  <si>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</si>
  <si>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</si>
  <si>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</si>
  <si>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Нахимова д.6 А</t>
  </si>
  <si>
    <t>Итого за 2011 г</t>
  </si>
  <si>
    <t>Результат за месяц</t>
  </si>
  <si>
    <t>Итого за 2012 г</t>
  </si>
  <si>
    <t>Благоустройство территории</t>
  </si>
  <si>
    <t>4.12</t>
  </si>
  <si>
    <t>4.13</t>
  </si>
  <si>
    <t>Итого за 2013 г</t>
  </si>
  <si>
    <t>Итого за 2014 г</t>
  </si>
  <si>
    <t>рентабельность 5%</t>
  </si>
  <si>
    <t xml:space="preserve">Материалы 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</si>
  <si>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</si>
  <si>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</si>
  <si>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</si>
  <si>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</si>
  <si>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</si>
  <si>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</si>
  <si>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 г</t>
  </si>
  <si>
    <t>Проверка вент.каналов</t>
  </si>
  <si>
    <t>Итого за 2017 г</t>
  </si>
  <si>
    <t>Начислено  СОИД</t>
  </si>
  <si>
    <t>Электроэнергия СОИД</t>
  </si>
  <si>
    <t>Горячая вода СОИД</t>
  </si>
  <si>
    <t>Итого за 2018 г</t>
  </si>
  <si>
    <t>Итого за 2019 г</t>
  </si>
  <si>
    <t>Дом по ул.Нахимова д.6 А вступил в ООО "Наш дом" с апреля 2010 года    тариф 9,2 руб с января 2019 года тариф 8,6 руб.</t>
  </si>
  <si>
    <t>ООО "НД УНЕЧА"</t>
  </si>
  <si>
    <t>Итого за 2020 г</t>
  </si>
  <si>
    <t>Всего за  2010-2020</t>
  </si>
  <si>
    <t>Прочие доходы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</si>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</sst>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8" xfId="0" applyFont="1" applyFill="1" applyBorder="1" applyAlignment="1">
      <alignment/>
    </xf>
    <xf numFmtId="0" fontId="0" fillId="2" borderId="26" xfId="0" applyFill="1" applyBorder="1" applyAlignment="1">
      <alignment/>
    </xf>
    <xf numFmtId="0" fontId="25" fillId="0" borderId="26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wrapText="1"/>
    </xf>
    <xf numFmtId="0" fontId="21" fillId="0" borderId="31" xfId="0" applyFont="1" applyBorder="1" applyAlignment="1">
      <alignment horizontal="left" wrapText="1"/>
    </xf>
    <xf numFmtId="49" fontId="21" fillId="0" borderId="30" xfId="0" applyNumberFormat="1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2" borderId="33" xfId="0" applyFont="1" applyFill="1" applyBorder="1" applyAlignment="1">
      <alignment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1" fillId="0" borderId="2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0" fontId="21" fillId="0" borderId="26" xfId="0" applyFont="1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7" xfId="0" applyFont="1" applyBorder="1" applyAlignment="1">
      <alignment/>
    </xf>
    <xf numFmtId="0" fontId="20" fillId="2" borderId="37" xfId="0" applyFont="1" applyFill="1" applyBorder="1" applyAlignment="1">
      <alignment/>
    </xf>
    <xf numFmtId="0" fontId="21" fillId="0" borderId="39" xfId="0" applyFont="1" applyBorder="1" applyAlignment="1">
      <alignment wrapText="1"/>
    </xf>
    <xf numFmtId="2" fontId="21" fillId="0" borderId="27" xfId="0" applyNumberFormat="1" applyFont="1" applyBorder="1" applyAlignment="1">
      <alignment horizontal="right" wrapText="1"/>
    </xf>
    <xf numFmtId="0" fontId="26" fillId="0" borderId="3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2" borderId="28" xfId="0" applyFont="1" applyFill="1" applyBorder="1" applyAlignment="1">
      <alignment wrapText="1"/>
    </xf>
    <xf numFmtId="0" fontId="26" fillId="0" borderId="40" xfId="0" applyFont="1" applyBorder="1" applyAlignment="1">
      <alignment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26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0" fontId="27" fillId="0" borderId="34" xfId="0" applyFont="1" applyBorder="1" applyAlignment="1">
      <alignment/>
    </xf>
    <xf numFmtId="2" fontId="27" fillId="0" borderId="26" xfId="0" applyNumberFormat="1" applyFont="1" applyBorder="1" applyAlignment="1">
      <alignment/>
    </xf>
    <xf numFmtId="2" fontId="27" fillId="0" borderId="47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47" xfId="0" applyNumberFormat="1" applyFont="1" applyBorder="1" applyAlignment="1">
      <alignment/>
    </xf>
    <xf numFmtId="49" fontId="22" fillId="0" borderId="35" xfId="0" applyNumberFormat="1" applyFont="1" applyBorder="1" applyAlignment="1">
      <alignment horizontal="center"/>
    </xf>
    <xf numFmtId="0" fontId="19" fillId="0" borderId="29" xfId="0" applyFont="1" applyBorder="1" applyAlignment="1">
      <alignment wrapText="1"/>
    </xf>
    <xf numFmtId="0" fontId="28" fillId="0" borderId="26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26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48" xfId="0" applyFont="1" applyBorder="1" applyAlignment="1">
      <alignment wrapText="1"/>
    </xf>
    <xf numFmtId="0" fontId="28" fillId="0" borderId="47" xfId="0" applyFont="1" applyBorder="1" applyAlignment="1">
      <alignment wrapText="1"/>
    </xf>
    <xf numFmtId="0" fontId="28" fillId="0" borderId="49" xfId="0" applyFont="1" applyBorder="1" applyAlignment="1">
      <alignment/>
    </xf>
    <xf numFmtId="0" fontId="28" fillId="0" borderId="47" xfId="0" applyFont="1" applyBorder="1" applyAlignment="1">
      <alignment/>
    </xf>
    <xf numFmtId="2" fontId="28" fillId="0" borderId="26" xfId="0" applyNumberFormat="1" applyFont="1" applyBorder="1" applyAlignment="1">
      <alignment/>
    </xf>
    <xf numFmtId="2" fontId="28" fillId="0" borderId="46" xfId="0" applyNumberFormat="1" applyFont="1" applyBorder="1" applyAlignment="1">
      <alignment/>
    </xf>
    <xf numFmtId="2" fontId="28" fillId="0" borderId="50" xfId="0" applyNumberFormat="1" applyFont="1" applyBorder="1" applyAlignment="1">
      <alignment/>
    </xf>
    <xf numFmtId="0" fontId="22" fillId="0" borderId="47" xfId="0" applyFont="1" applyBorder="1" applyAlignment="1">
      <alignment/>
    </xf>
    <xf numFmtId="0" fontId="24" fillId="0" borderId="39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1" fillId="0" borderId="45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PageLayoutView="0" workbookViewId="0" topLeftCell="A7">
      <selection activeCell="B13" sqref="B13"/>
    </sheetView>
  </sheetViews>
  <sheetFormatPr defaultColWidth="9.00390625" defaultRowHeight="12.75"/>
  <cols>
    <col min="1" max="1" width="3.375" style="31" customWidth="1"/>
    <col min="2" max="2" width="20.25390625" style="0" customWidth="1"/>
    <col min="3" max="3" width="9.00390625" style="0" hidden="1" customWidth="1"/>
    <col min="4" max="4" width="9.75390625" style="0" hidden="1" customWidth="1"/>
    <col min="5" max="5" width="9.875" style="0" hidden="1" customWidth="1"/>
    <col min="6" max="6" width="10.125" style="0" hidden="1" customWidth="1"/>
    <col min="7" max="7" width="9.875" style="0" hidden="1" customWidth="1"/>
    <col min="8" max="8" width="9.375" style="0" hidden="1" customWidth="1"/>
    <col min="9" max="9" width="10.75390625" style="0" hidden="1" customWidth="1"/>
    <col min="10" max="10" width="9.875" style="0" hidden="1" customWidth="1"/>
    <col min="11" max="11" width="9.75390625" style="0" hidden="1" customWidth="1"/>
    <col min="12" max="12" width="9.875" style="0" hidden="1" customWidth="1"/>
    <col min="13" max="13" width="9.25390625" style="0" customWidth="1"/>
    <col min="14" max="14" width="8.25390625" style="0" customWidth="1"/>
    <col min="15" max="15" width="8.125" style="0" customWidth="1"/>
    <col min="16" max="16" width="8.00390625" style="0" customWidth="1"/>
    <col min="17" max="18" width="8.375" style="0" customWidth="1"/>
    <col min="19" max="19" width="8.25390625" style="0" customWidth="1"/>
    <col min="20" max="20" width="8.875" style="0" customWidth="1"/>
    <col min="21" max="21" width="8.375" style="0" customWidth="1"/>
    <col min="22" max="23" width="8.125" style="0" customWidth="1"/>
    <col min="24" max="24" width="8.875" style="0" customWidth="1"/>
    <col min="25" max="25" width="9.25390625" style="0" customWidth="1"/>
    <col min="26" max="26" width="10.00390625" style="0" customWidth="1"/>
  </cols>
  <sheetData>
    <row r="1" spans="2:31" ht="12.75" customHeight="1">
      <c r="B1" s="99" t="s">
        <v>73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99" t="s">
        <v>72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  <c r="X2" s="100"/>
      <c r="Y2" s="100"/>
      <c r="Z2" s="4"/>
      <c r="AA2" s="4"/>
      <c r="AB2" s="4"/>
      <c r="AC2" s="4"/>
      <c r="AD2" s="4"/>
      <c r="AE2" s="4"/>
    </row>
    <row r="3" spans="2:31" ht="12.75" customHeight="1">
      <c r="B3" s="98" t="s">
        <v>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3"/>
      <c r="AB3" s="3"/>
      <c r="AC3" s="3"/>
      <c r="AD3" s="3"/>
      <c r="AE3" s="3"/>
    </row>
    <row r="4" spans="2:31" ht="15" customHeight="1">
      <c r="B4" s="97" t="s">
        <v>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2"/>
      <c r="AB4" s="2"/>
      <c r="AC4" s="2"/>
      <c r="AD4" s="2"/>
      <c r="AE4" s="2"/>
    </row>
    <row r="5" spans="2:31" ht="16.5" customHeight="1" thickBot="1">
      <c r="B5" s="97" t="s">
        <v>47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2"/>
      <c r="AB5" s="2"/>
      <c r="AC5" s="2"/>
      <c r="AD5" s="2"/>
      <c r="AE5" s="2"/>
    </row>
    <row r="6" spans="2:31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31.5" customHeight="1" thickBot="1">
      <c r="A7" s="40" t="s">
        <v>26</v>
      </c>
      <c r="B7" s="32" t="s">
        <v>6</v>
      </c>
      <c r="C7" s="43" t="s">
        <v>44</v>
      </c>
      <c r="D7" s="51" t="s">
        <v>48</v>
      </c>
      <c r="E7" s="51" t="s">
        <v>50</v>
      </c>
      <c r="F7" s="51" t="s">
        <v>54</v>
      </c>
      <c r="G7" s="51" t="s">
        <v>55</v>
      </c>
      <c r="H7" s="51" t="s">
        <v>58</v>
      </c>
      <c r="I7" s="51" t="s">
        <v>64</v>
      </c>
      <c r="J7" s="51" t="s">
        <v>66</v>
      </c>
      <c r="K7" s="51" t="s">
        <v>70</v>
      </c>
      <c r="L7" s="51" t="s">
        <v>71</v>
      </c>
      <c r="M7" s="6" t="s">
        <v>10</v>
      </c>
      <c r="N7" s="5" t="s">
        <v>11</v>
      </c>
      <c r="O7" s="5" t="s">
        <v>12</v>
      </c>
      <c r="P7" s="5" t="s">
        <v>13</v>
      </c>
      <c r="Q7" s="5" t="s">
        <v>14</v>
      </c>
      <c r="R7" s="5" t="s">
        <v>15</v>
      </c>
      <c r="S7" s="5" t="s">
        <v>16</v>
      </c>
      <c r="T7" s="5" t="s">
        <v>17</v>
      </c>
      <c r="U7" s="5" t="s">
        <v>18</v>
      </c>
      <c r="V7" s="5" t="s">
        <v>19</v>
      </c>
      <c r="W7" s="5" t="s">
        <v>21</v>
      </c>
      <c r="X7" s="15" t="s">
        <v>20</v>
      </c>
      <c r="Y7" s="51" t="s">
        <v>74</v>
      </c>
      <c r="Z7" s="21" t="s">
        <v>75</v>
      </c>
      <c r="AA7" s="1"/>
      <c r="AB7" s="1"/>
      <c r="AC7" s="1"/>
      <c r="AD7" s="1"/>
      <c r="AE7" s="1"/>
    </row>
    <row r="8" spans="1:26" ht="13.5" customHeight="1" thickBot="1">
      <c r="A8" s="41" t="s">
        <v>27</v>
      </c>
      <c r="B8" s="33" t="s">
        <v>1</v>
      </c>
      <c r="C8" s="57">
        <v>52530.16</v>
      </c>
      <c r="D8" s="60">
        <v>70096.36</v>
      </c>
      <c r="E8" s="57">
        <v>70175.76</v>
      </c>
      <c r="F8" s="57">
        <v>69823.4</v>
      </c>
      <c r="G8" s="72">
        <v>69794.88</v>
      </c>
      <c r="H8" s="57">
        <v>69794.88</v>
      </c>
      <c r="I8" s="57">
        <v>69802.24</v>
      </c>
      <c r="J8" s="57">
        <v>69805.92</v>
      </c>
      <c r="K8" s="57">
        <v>69769.12</v>
      </c>
      <c r="L8" s="57">
        <v>65170.8</v>
      </c>
      <c r="M8" s="7">
        <v>5430.9</v>
      </c>
      <c r="N8" s="7">
        <v>5430.9</v>
      </c>
      <c r="O8" s="7">
        <v>5430.9</v>
      </c>
      <c r="P8" s="7">
        <v>5430.9</v>
      </c>
      <c r="Q8" s="7">
        <v>5430.9</v>
      </c>
      <c r="R8" s="7">
        <v>5430.9</v>
      </c>
      <c r="S8" s="7">
        <v>5430.9</v>
      </c>
      <c r="T8" s="7">
        <v>5430.9</v>
      </c>
      <c r="U8" s="7">
        <v>5430.9</v>
      </c>
      <c r="V8" s="7">
        <v>5430.9</v>
      </c>
      <c r="W8" s="7">
        <v>5430.9</v>
      </c>
      <c r="X8" s="7">
        <v>5430.9</v>
      </c>
      <c r="Y8" s="52">
        <f>SUM(M8:X8)</f>
        <v>65170.80000000001</v>
      </c>
      <c r="Z8" s="73">
        <f>SUM(C8:X8)</f>
        <v>741934.3200000003</v>
      </c>
    </row>
    <row r="9" spans="1:26" ht="13.5" customHeight="1" thickBot="1">
      <c r="A9" s="41"/>
      <c r="B9" s="33" t="s">
        <v>67</v>
      </c>
      <c r="C9" s="72"/>
      <c r="D9" s="60"/>
      <c r="E9" s="72"/>
      <c r="F9" s="72"/>
      <c r="G9" s="72"/>
      <c r="H9" s="72"/>
      <c r="I9" s="72"/>
      <c r="J9" s="72">
        <v>8028.11</v>
      </c>
      <c r="K9" s="72">
        <v>6217.81</v>
      </c>
      <c r="L9" s="72">
        <v>1668.42</v>
      </c>
      <c r="M9" s="7">
        <f aca="true" t="shared" si="0" ref="M9:R9">20.69+23.48+96.12</f>
        <v>140.29000000000002</v>
      </c>
      <c r="N9" s="7">
        <f t="shared" si="0"/>
        <v>140.29000000000002</v>
      </c>
      <c r="O9" s="7">
        <f t="shared" si="0"/>
        <v>140.29000000000002</v>
      </c>
      <c r="P9" s="7">
        <f t="shared" si="0"/>
        <v>140.29000000000002</v>
      </c>
      <c r="Q9" s="7">
        <f t="shared" si="0"/>
        <v>140.29000000000002</v>
      </c>
      <c r="R9" s="7">
        <f t="shared" si="0"/>
        <v>140.29000000000002</v>
      </c>
      <c r="S9" s="8">
        <f aca="true" t="shared" si="1" ref="S9:X9">24.75+23.97+99.52</f>
        <v>148.24</v>
      </c>
      <c r="T9" s="8">
        <f t="shared" si="1"/>
        <v>148.24</v>
      </c>
      <c r="U9" s="8">
        <f t="shared" si="1"/>
        <v>148.24</v>
      </c>
      <c r="V9" s="8">
        <f t="shared" si="1"/>
        <v>148.24</v>
      </c>
      <c r="W9" s="8">
        <f t="shared" si="1"/>
        <v>148.24</v>
      </c>
      <c r="X9" s="8">
        <f t="shared" si="1"/>
        <v>148.24</v>
      </c>
      <c r="Y9" s="52">
        <f>SUM(M9:X9)</f>
        <v>1731.18</v>
      </c>
      <c r="Z9" s="73">
        <f>SUM(C9:X9)</f>
        <v>17645.520000000015</v>
      </c>
    </row>
    <row r="10" spans="1:26" ht="13.5" customHeight="1" thickBot="1">
      <c r="A10" s="41"/>
      <c r="B10" s="93" t="s">
        <v>76</v>
      </c>
      <c r="C10" s="94"/>
      <c r="D10" s="95"/>
      <c r="E10" s="94"/>
      <c r="F10" s="94"/>
      <c r="G10" s="94"/>
      <c r="H10" s="94"/>
      <c r="I10" s="94"/>
      <c r="J10" s="94"/>
      <c r="K10" s="94"/>
      <c r="L10" s="94"/>
      <c r="M10" s="96">
        <v>400</v>
      </c>
      <c r="N10" s="96">
        <v>400</v>
      </c>
      <c r="O10" s="96">
        <v>400</v>
      </c>
      <c r="P10" s="96">
        <v>400</v>
      </c>
      <c r="Q10" s="96">
        <v>400</v>
      </c>
      <c r="R10" s="96">
        <v>400</v>
      </c>
      <c r="S10" s="96">
        <v>400</v>
      </c>
      <c r="T10" s="96">
        <v>400</v>
      </c>
      <c r="U10" s="96">
        <v>400</v>
      </c>
      <c r="V10" s="96">
        <v>400</v>
      </c>
      <c r="W10" s="96">
        <v>400</v>
      </c>
      <c r="X10" s="96">
        <v>400</v>
      </c>
      <c r="Y10" s="52">
        <f>SUM(M10:X10)</f>
        <v>4800</v>
      </c>
      <c r="Z10" s="73">
        <f>SUM(C10:X10)</f>
        <v>4800</v>
      </c>
    </row>
    <row r="11" spans="1:26" s="84" customFormat="1" ht="16.5" customHeight="1" thickBot="1">
      <c r="A11" s="78" t="s">
        <v>28</v>
      </c>
      <c r="B11" s="79" t="s">
        <v>2</v>
      </c>
      <c r="C11" s="80">
        <f aca="true" t="shared" si="2" ref="C11:M11">SUM(C12:C25)</f>
        <v>70999.04</v>
      </c>
      <c r="D11" s="81">
        <f t="shared" si="2"/>
        <v>74967.06999999999</v>
      </c>
      <c r="E11" s="80">
        <f t="shared" si="2"/>
        <v>88422.32000000002</v>
      </c>
      <c r="F11" s="80">
        <f t="shared" si="2"/>
        <v>61707.259999999995</v>
      </c>
      <c r="G11" s="80">
        <f t="shared" si="2"/>
        <v>65247.89</v>
      </c>
      <c r="H11" s="80">
        <f>SUM(H12:H25)</f>
        <v>71316.26000000001</v>
      </c>
      <c r="I11" s="80">
        <f>SUM(I12:I25)</f>
        <v>63179.36</v>
      </c>
      <c r="J11" s="80">
        <f>SUM(J12:J25)</f>
        <v>68510.27</v>
      </c>
      <c r="K11" s="80">
        <f t="shared" si="2"/>
        <v>82214.90999999999</v>
      </c>
      <c r="L11" s="80">
        <f t="shared" si="2"/>
        <v>62921.77</v>
      </c>
      <c r="M11" s="82">
        <f t="shared" si="2"/>
        <v>5023.09</v>
      </c>
      <c r="N11" s="82">
        <f aca="true" t="shared" si="3" ref="N11:X11">SUM(N12:N25)</f>
        <v>9273.249999999998</v>
      </c>
      <c r="O11" s="82">
        <f t="shared" si="3"/>
        <v>5130.88</v>
      </c>
      <c r="P11" s="82">
        <f t="shared" si="3"/>
        <v>4637.049999999999</v>
      </c>
      <c r="Q11" s="82">
        <f t="shared" si="3"/>
        <v>4785.85</v>
      </c>
      <c r="R11" s="82">
        <f t="shared" si="3"/>
        <v>4887.78</v>
      </c>
      <c r="S11" s="82">
        <f t="shared" si="3"/>
        <v>6123.22</v>
      </c>
      <c r="T11" s="82">
        <f t="shared" si="3"/>
        <v>6315.55</v>
      </c>
      <c r="U11" s="82">
        <f t="shared" si="3"/>
        <v>5880.76</v>
      </c>
      <c r="V11" s="82">
        <f t="shared" si="3"/>
        <v>6251.23</v>
      </c>
      <c r="W11" s="82">
        <f t="shared" si="3"/>
        <v>5977.530000000001</v>
      </c>
      <c r="X11" s="81">
        <f t="shared" si="3"/>
        <v>6544.99</v>
      </c>
      <c r="Y11" s="80">
        <f>SUM(M11:X11)</f>
        <v>70831.18000000001</v>
      </c>
      <c r="Z11" s="83">
        <f>SUM(C11:X11)</f>
        <v>780317.3300000001</v>
      </c>
    </row>
    <row r="12" spans="1:26" ht="13.5" thickBot="1">
      <c r="A12" s="41" t="s">
        <v>29</v>
      </c>
      <c r="B12" s="35" t="s">
        <v>77</v>
      </c>
      <c r="C12" s="47">
        <v>9277.69</v>
      </c>
      <c r="D12" s="61">
        <v>13466.39</v>
      </c>
      <c r="E12" s="47">
        <v>14058.96</v>
      </c>
      <c r="F12" s="47">
        <v>15792.08</v>
      </c>
      <c r="G12" s="47">
        <v>15106.21</v>
      </c>
      <c r="H12" s="47">
        <v>14304.28</v>
      </c>
      <c r="I12" s="47">
        <v>14951.17</v>
      </c>
      <c r="J12" s="47">
        <v>15648.32</v>
      </c>
      <c r="K12" s="47">
        <v>14594.83</v>
      </c>
      <c r="L12" s="47">
        <v>136.31</v>
      </c>
      <c r="M12" s="7"/>
      <c r="N12" s="8">
        <v>8.51</v>
      </c>
      <c r="O12" s="8">
        <v>10.37</v>
      </c>
      <c r="P12" s="8">
        <v>11.62</v>
      </c>
      <c r="Q12" s="8">
        <v>18.61</v>
      </c>
      <c r="R12" s="8">
        <v>13.7</v>
      </c>
      <c r="S12" s="8">
        <v>21.72</v>
      </c>
      <c r="T12" s="8">
        <v>25.55</v>
      </c>
      <c r="U12" s="8">
        <v>60.66</v>
      </c>
      <c r="V12" s="8">
        <v>26.01</v>
      </c>
      <c r="W12" s="8">
        <v>1.94</v>
      </c>
      <c r="X12" s="16">
        <v>2.57</v>
      </c>
      <c r="Y12" s="50">
        <f aca="true" t="shared" si="4" ref="Y12:Y27">SUM(M12:X12)</f>
        <v>201.26</v>
      </c>
      <c r="Z12" s="74">
        <f aca="true" t="shared" si="5" ref="Z12:Z25">SUM(C12:X12)</f>
        <v>127537.5</v>
      </c>
    </row>
    <row r="13" spans="1:26" ht="12" customHeight="1" thickBot="1">
      <c r="A13" s="41" t="s">
        <v>30</v>
      </c>
      <c r="B13" s="36" t="s">
        <v>59</v>
      </c>
      <c r="C13" s="48">
        <v>10076.95</v>
      </c>
      <c r="D13" s="62">
        <v>6390.6</v>
      </c>
      <c r="E13" s="48">
        <v>1848.72</v>
      </c>
      <c r="F13" s="48">
        <v>11.25</v>
      </c>
      <c r="G13" s="48">
        <v>933.34</v>
      </c>
      <c r="H13" s="48">
        <v>2277.52</v>
      </c>
      <c r="I13" s="48">
        <v>40.23</v>
      </c>
      <c r="J13" s="48">
        <v>197.84</v>
      </c>
      <c r="K13" s="48">
        <v>0</v>
      </c>
      <c r="L13" s="48">
        <v>0</v>
      </c>
      <c r="M13" s="9"/>
      <c r="N13" s="10"/>
      <c r="O13" s="10"/>
      <c r="P13" s="10"/>
      <c r="Q13" s="10"/>
      <c r="R13" s="10"/>
      <c r="S13" s="10">
        <v>890</v>
      </c>
      <c r="T13" s="10">
        <v>750</v>
      </c>
      <c r="U13" s="10"/>
      <c r="V13" s="10"/>
      <c r="W13" s="10"/>
      <c r="X13" s="17"/>
      <c r="Y13" s="50">
        <f t="shared" si="4"/>
        <v>1640</v>
      </c>
      <c r="Z13" s="74">
        <f t="shared" si="5"/>
        <v>23416.450000000004</v>
      </c>
    </row>
    <row r="14" spans="1:26" ht="12.75" customHeight="1" thickBot="1">
      <c r="A14" s="41" t="s">
        <v>31</v>
      </c>
      <c r="B14" s="34" t="s">
        <v>4</v>
      </c>
      <c r="C14" s="48">
        <v>0</v>
      </c>
      <c r="D14" s="62">
        <v>7600.85</v>
      </c>
      <c r="E14" s="48">
        <v>0</v>
      </c>
      <c r="F14" s="48">
        <v>0</v>
      </c>
      <c r="G14" s="48"/>
      <c r="H14" s="48">
        <v>6613.3</v>
      </c>
      <c r="I14" s="48">
        <v>0</v>
      </c>
      <c r="J14" s="48">
        <v>0</v>
      </c>
      <c r="K14" s="48">
        <v>9280.01</v>
      </c>
      <c r="L14" s="48">
        <v>4381.5</v>
      </c>
      <c r="M14" s="9"/>
      <c r="N14" s="10">
        <v>4584</v>
      </c>
      <c r="O14" s="10"/>
      <c r="P14" s="10"/>
      <c r="Q14" s="10"/>
      <c r="R14" s="10"/>
      <c r="S14" s="10"/>
      <c r="T14" s="10"/>
      <c r="U14" s="10"/>
      <c r="V14" s="10"/>
      <c r="W14" s="10"/>
      <c r="X14" s="17"/>
      <c r="Y14" s="50">
        <f t="shared" si="4"/>
        <v>4584</v>
      </c>
      <c r="Z14" s="74">
        <f>SUM(C14:X14)</f>
        <v>32459.660000000003</v>
      </c>
    </row>
    <row r="15" spans="1:26" ht="13.5" customHeight="1" thickBot="1">
      <c r="A15" s="41"/>
      <c r="B15" s="34" t="s">
        <v>65</v>
      </c>
      <c r="C15" s="48"/>
      <c r="D15" s="62"/>
      <c r="E15" s="48"/>
      <c r="F15" s="48"/>
      <c r="G15" s="48"/>
      <c r="H15" s="48"/>
      <c r="I15" s="48">
        <v>2300</v>
      </c>
      <c r="J15" s="48">
        <v>1200</v>
      </c>
      <c r="K15" s="48">
        <v>1200</v>
      </c>
      <c r="L15" s="48">
        <v>1000</v>
      </c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7"/>
      <c r="Y15" s="50">
        <f>SUM(M15:X15)</f>
        <v>0</v>
      </c>
      <c r="Z15" s="74">
        <f>SUM(C15:X15)</f>
        <v>5700</v>
      </c>
    </row>
    <row r="16" spans="1:26" ht="14.25" customHeight="1" thickBot="1">
      <c r="A16" s="41" t="s">
        <v>32</v>
      </c>
      <c r="B16" s="36" t="s">
        <v>57</v>
      </c>
      <c r="C16" s="48">
        <v>29491.37</v>
      </c>
      <c r="D16" s="62">
        <v>8983.42</v>
      </c>
      <c r="E16" s="48">
        <v>28961.17</v>
      </c>
      <c r="F16" s="48">
        <v>227.04</v>
      </c>
      <c r="G16" s="48">
        <v>3443.86</v>
      </c>
      <c r="H16" s="48">
        <v>6421.21</v>
      </c>
      <c r="I16" s="48">
        <v>2281.54</v>
      </c>
      <c r="J16" s="48">
        <v>2173.3</v>
      </c>
      <c r="K16" s="48">
        <v>75</v>
      </c>
      <c r="L16" s="48">
        <v>4059.49</v>
      </c>
      <c r="M16" s="9"/>
      <c r="N16" s="10"/>
      <c r="O16" s="10"/>
      <c r="P16" s="10"/>
      <c r="Q16" s="10"/>
      <c r="R16" s="10">
        <v>145.65</v>
      </c>
      <c r="S16" s="10"/>
      <c r="T16" s="10">
        <v>270.59</v>
      </c>
      <c r="U16" s="10"/>
      <c r="V16" s="10">
        <v>525</v>
      </c>
      <c r="W16" s="10"/>
      <c r="X16" s="17"/>
      <c r="Y16" s="50">
        <f t="shared" si="4"/>
        <v>941.24</v>
      </c>
      <c r="Z16" s="74">
        <f t="shared" si="5"/>
        <v>87058.63999999998</v>
      </c>
    </row>
    <row r="17" spans="1:26" ht="24" customHeight="1" thickBot="1">
      <c r="A17" s="41" t="s">
        <v>33</v>
      </c>
      <c r="B17" s="36" t="s">
        <v>51</v>
      </c>
      <c r="C17" s="48">
        <v>0</v>
      </c>
      <c r="D17" s="62">
        <v>0</v>
      </c>
      <c r="E17" s="48">
        <v>256</v>
      </c>
      <c r="F17" s="48">
        <v>0</v>
      </c>
      <c r="G17" s="48">
        <v>11.63</v>
      </c>
      <c r="H17" s="48">
        <v>0</v>
      </c>
      <c r="I17" s="48">
        <v>51</v>
      </c>
      <c r="J17" s="48">
        <v>316.42</v>
      </c>
      <c r="K17" s="48">
        <v>78</v>
      </c>
      <c r="L17" s="48">
        <v>67.99</v>
      </c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7"/>
      <c r="Y17" s="50">
        <f t="shared" si="4"/>
        <v>0</v>
      </c>
      <c r="Z17" s="74">
        <f t="shared" si="5"/>
        <v>781.04</v>
      </c>
    </row>
    <row r="18" spans="1:26" ht="15" customHeight="1" thickBot="1">
      <c r="A18" s="41" t="s">
        <v>34</v>
      </c>
      <c r="B18" s="36" t="s">
        <v>68</v>
      </c>
      <c r="C18" s="48">
        <v>11</v>
      </c>
      <c r="D18" s="62">
        <v>41.14</v>
      </c>
      <c r="E18" s="48">
        <v>0</v>
      </c>
      <c r="F18" s="48">
        <v>0</v>
      </c>
      <c r="G18" s="48"/>
      <c r="H18" s="48">
        <v>0</v>
      </c>
      <c r="I18" s="48">
        <v>0</v>
      </c>
      <c r="J18" s="48">
        <v>6420.06</v>
      </c>
      <c r="K18" s="48">
        <v>4605.31</v>
      </c>
      <c r="L18" s="48">
        <v>0</v>
      </c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7"/>
      <c r="Y18" s="50">
        <f t="shared" si="4"/>
        <v>0</v>
      </c>
      <c r="Z18" s="74">
        <f t="shared" si="5"/>
        <v>11077.510000000002</v>
      </c>
    </row>
    <row r="19" spans="1:26" ht="15" customHeight="1" thickBot="1">
      <c r="A19" s="41"/>
      <c r="B19" s="36" t="s">
        <v>69</v>
      </c>
      <c r="C19" s="48"/>
      <c r="D19" s="62"/>
      <c r="E19" s="48"/>
      <c r="F19" s="48"/>
      <c r="G19" s="48"/>
      <c r="H19" s="48"/>
      <c r="I19" s="48"/>
      <c r="J19" s="48">
        <v>1233.56</v>
      </c>
      <c r="K19" s="48">
        <v>1061.75</v>
      </c>
      <c r="L19" s="48">
        <v>1108.08</v>
      </c>
      <c r="M19" s="9">
        <v>97.66</v>
      </c>
      <c r="N19" s="9">
        <v>97.66</v>
      </c>
      <c r="O19" s="9">
        <v>97.66</v>
      </c>
      <c r="P19" s="9">
        <v>97.66</v>
      </c>
      <c r="Q19" s="9">
        <v>97.66</v>
      </c>
      <c r="R19" s="9">
        <v>97.66</v>
      </c>
      <c r="S19" s="10">
        <v>74.41</v>
      </c>
      <c r="T19" s="10">
        <v>100.75</v>
      </c>
      <c r="U19" s="10">
        <v>101.12</v>
      </c>
      <c r="V19" s="10">
        <v>101.12</v>
      </c>
      <c r="W19" s="10">
        <v>100.72</v>
      </c>
      <c r="X19" s="17">
        <v>101.12</v>
      </c>
      <c r="Y19" s="50">
        <f>SUM(M19:X19)</f>
        <v>1165.1999999999998</v>
      </c>
      <c r="Z19" s="74">
        <f>SUM(C19:X19)</f>
        <v>4568.589999999998</v>
      </c>
    </row>
    <row r="20" spans="1:26" ht="21.75" customHeight="1" thickBot="1">
      <c r="A20" s="41" t="s">
        <v>35</v>
      </c>
      <c r="B20" s="36" t="s">
        <v>5</v>
      </c>
      <c r="C20" s="48">
        <v>882.99</v>
      </c>
      <c r="D20" s="62">
        <v>677.95</v>
      </c>
      <c r="E20" s="48">
        <v>416.41</v>
      </c>
      <c r="F20" s="48">
        <v>676.03</v>
      </c>
      <c r="G20" s="48">
        <v>551.45</v>
      </c>
      <c r="H20" s="48">
        <v>1006.64</v>
      </c>
      <c r="I20" s="48">
        <v>826.84</v>
      </c>
      <c r="J20" s="48">
        <v>1135.59</v>
      </c>
      <c r="K20" s="48">
        <v>1614.74</v>
      </c>
      <c r="L20" s="48">
        <v>1626.45</v>
      </c>
      <c r="M20" s="9"/>
      <c r="N20" s="10"/>
      <c r="O20" s="10">
        <v>341.36</v>
      </c>
      <c r="P20" s="10"/>
      <c r="Q20" s="10"/>
      <c r="R20" s="10"/>
      <c r="S20" s="10"/>
      <c r="T20" s="10"/>
      <c r="U20" s="10">
        <v>361.45</v>
      </c>
      <c r="V20" s="10"/>
      <c r="W20" s="10"/>
      <c r="X20" s="17">
        <v>391.53</v>
      </c>
      <c r="Y20" s="50">
        <f t="shared" si="4"/>
        <v>1094.34</v>
      </c>
      <c r="Z20" s="74">
        <f t="shared" si="5"/>
        <v>10509.430000000002</v>
      </c>
    </row>
    <row r="21" spans="1:26" ht="33.75" customHeight="1" thickBot="1">
      <c r="A21" s="41" t="s">
        <v>36</v>
      </c>
      <c r="B21" s="36" t="s">
        <v>60</v>
      </c>
      <c r="C21" s="48">
        <v>864.21</v>
      </c>
      <c r="D21" s="62">
        <v>3082.65</v>
      </c>
      <c r="E21" s="48">
        <v>4033.29</v>
      </c>
      <c r="F21" s="48">
        <v>3846.57</v>
      </c>
      <c r="G21" s="48">
        <v>2576.13</v>
      </c>
      <c r="H21" s="48">
        <v>3038.35</v>
      </c>
      <c r="I21" s="48">
        <v>3213.33</v>
      </c>
      <c r="J21" s="48">
        <v>3336.77</v>
      </c>
      <c r="K21" s="48">
        <v>3429.03</v>
      </c>
      <c r="L21" s="48">
        <v>2773.77</v>
      </c>
      <c r="M21" s="9">
        <v>203.71</v>
      </c>
      <c r="N21" s="10">
        <v>182.61</v>
      </c>
      <c r="O21" s="10">
        <v>227.03</v>
      </c>
      <c r="P21" s="10">
        <v>177.48</v>
      </c>
      <c r="Q21" s="10">
        <v>183.64</v>
      </c>
      <c r="R21" s="10">
        <v>185.36</v>
      </c>
      <c r="S21" s="10">
        <v>214.38</v>
      </c>
      <c r="T21" s="10">
        <v>267.17</v>
      </c>
      <c r="U21" s="10">
        <v>256.37</v>
      </c>
      <c r="V21" s="10">
        <v>297.98</v>
      </c>
      <c r="W21" s="10">
        <v>277.13</v>
      </c>
      <c r="X21" s="17">
        <v>252.98</v>
      </c>
      <c r="Y21" s="50">
        <f t="shared" si="4"/>
        <v>2725.84</v>
      </c>
      <c r="Z21" s="74">
        <f t="shared" si="5"/>
        <v>32919.939999999995</v>
      </c>
    </row>
    <row r="22" spans="1:26" ht="24" customHeight="1" thickBot="1">
      <c r="A22" s="41" t="s">
        <v>37</v>
      </c>
      <c r="B22" s="36" t="s">
        <v>61</v>
      </c>
      <c r="C22" s="48">
        <v>1420.86</v>
      </c>
      <c r="D22" s="62">
        <v>1678.73</v>
      </c>
      <c r="E22" s="48">
        <v>503.9</v>
      </c>
      <c r="F22" s="48">
        <v>356.46</v>
      </c>
      <c r="G22" s="48">
        <v>774.96</v>
      </c>
      <c r="H22" s="48">
        <v>523.62</v>
      </c>
      <c r="I22" s="48">
        <v>457.13</v>
      </c>
      <c r="J22" s="48">
        <v>357.12</v>
      </c>
      <c r="K22" s="48">
        <v>345.88</v>
      </c>
      <c r="L22" s="48">
        <v>314.1</v>
      </c>
      <c r="M22" s="9">
        <v>11.7</v>
      </c>
      <c r="N22" s="10">
        <v>16.58</v>
      </c>
      <c r="O22" s="10">
        <v>15.88</v>
      </c>
      <c r="P22" s="10">
        <v>15.86</v>
      </c>
      <c r="Q22" s="10">
        <v>15.47</v>
      </c>
      <c r="R22" s="10">
        <v>13.52</v>
      </c>
      <c r="S22" s="10">
        <v>30.49</v>
      </c>
      <c r="T22" s="10">
        <v>15.82</v>
      </c>
      <c r="U22" s="10">
        <v>9.66</v>
      </c>
      <c r="V22" s="10">
        <v>29.18</v>
      </c>
      <c r="W22" s="10">
        <v>12.55</v>
      </c>
      <c r="X22" s="17">
        <v>34.17</v>
      </c>
      <c r="Y22" s="50">
        <f t="shared" si="4"/>
        <v>220.88</v>
      </c>
      <c r="Z22" s="74">
        <f t="shared" si="5"/>
        <v>6953.64</v>
      </c>
    </row>
    <row r="23" spans="1:26" ht="35.25" customHeight="1" thickBot="1">
      <c r="A23" s="41" t="s">
        <v>38</v>
      </c>
      <c r="B23" s="36" t="s">
        <v>62</v>
      </c>
      <c r="C23" s="48">
        <v>3646.1</v>
      </c>
      <c r="D23" s="62">
        <v>2710.26</v>
      </c>
      <c r="E23" s="48">
        <v>2619.69</v>
      </c>
      <c r="F23" s="48">
        <v>3496.61</v>
      </c>
      <c r="G23" s="48">
        <v>3004.96</v>
      </c>
      <c r="H23" s="48">
        <v>3880.58</v>
      </c>
      <c r="I23" s="48">
        <v>3343.71</v>
      </c>
      <c r="J23" s="48">
        <v>3522.13</v>
      </c>
      <c r="K23" s="48">
        <v>3855.79</v>
      </c>
      <c r="L23" s="48">
        <v>4189.83</v>
      </c>
      <c r="M23" s="9">
        <f>8.32+109.6+178.73</f>
        <v>296.65</v>
      </c>
      <c r="N23" s="10">
        <f>8.63+128.75+191.74</f>
        <v>329.12</v>
      </c>
      <c r="O23" s="10">
        <f>8.23+116.15+196.57</f>
        <v>320.95</v>
      </c>
      <c r="P23" s="10">
        <f>10.22+136.63+183.51</f>
        <v>330.36</v>
      </c>
      <c r="Q23" s="10">
        <f>8.61+170.74+182.15</f>
        <v>361.5</v>
      </c>
      <c r="R23" s="10">
        <f>8.35+144.12+171.79</f>
        <v>324.26</v>
      </c>
      <c r="S23" s="10">
        <f>9.03+117.62+174.29</f>
        <v>300.94</v>
      </c>
      <c r="T23" s="10">
        <f>169.14+8.54+118.6</f>
        <v>296.28</v>
      </c>
      <c r="U23" s="10">
        <f>152.88+261.18</f>
        <v>414.06</v>
      </c>
      <c r="V23" s="10">
        <f>8.99+255.31+254.19</f>
        <v>518.49</v>
      </c>
      <c r="W23" s="10">
        <f>9.89+205.04+244.7</f>
        <v>459.63</v>
      </c>
      <c r="X23" s="17">
        <f>11.16+284.67+224.52</f>
        <v>520.35</v>
      </c>
      <c r="Y23" s="50">
        <f t="shared" si="4"/>
        <v>4472.59</v>
      </c>
      <c r="Z23" s="74">
        <f t="shared" si="5"/>
        <v>38742.25</v>
      </c>
    </row>
    <row r="24" spans="1:26" ht="15.75" customHeight="1" thickBot="1">
      <c r="A24" s="41" t="s">
        <v>52</v>
      </c>
      <c r="B24" s="36" t="s">
        <v>8</v>
      </c>
      <c r="C24" s="48">
        <v>13467.79</v>
      </c>
      <c r="D24" s="62">
        <v>26062.3</v>
      </c>
      <c r="E24" s="48">
        <v>32906.44</v>
      </c>
      <c r="F24" s="48">
        <v>34549.63</v>
      </c>
      <c r="G24" s="48">
        <v>35351.25</v>
      </c>
      <c r="H24" s="48">
        <v>30648.79</v>
      </c>
      <c r="I24" s="48">
        <v>33024.32</v>
      </c>
      <c r="J24" s="48">
        <v>30077.22</v>
      </c>
      <c r="K24" s="48">
        <v>39178.78</v>
      </c>
      <c r="L24" s="48">
        <v>40723.48</v>
      </c>
      <c r="M24" s="9">
        <f>5023.09-819.41</f>
        <v>4203.68</v>
      </c>
      <c r="N24" s="10">
        <f>9273.25-5442.47</f>
        <v>3830.7799999999997</v>
      </c>
      <c r="O24" s="10">
        <f>5130.88-1068.46-341.36+186.2</f>
        <v>3907.2599999999998</v>
      </c>
      <c r="P24" s="10">
        <f>4637.05-828.63</f>
        <v>3808.42</v>
      </c>
      <c r="Q24" s="10">
        <f>4785.85-901.97</f>
        <v>3883.88</v>
      </c>
      <c r="R24" s="10">
        <f>4887.78-990.56</f>
        <v>3897.22</v>
      </c>
      <c r="S24" s="10">
        <f>6123.22-1729.41</f>
        <v>4393.81</v>
      </c>
      <c r="T24" s="10">
        <f>6315.55-1949.69</f>
        <v>4365.860000000001</v>
      </c>
      <c r="U24" s="10">
        <f>5880.76-1052.54-361.45</f>
        <v>4466.77</v>
      </c>
      <c r="V24" s="10">
        <f>6251.23-1170.58-525</f>
        <v>4555.65</v>
      </c>
      <c r="W24" s="10">
        <f>5977.53-1075.52</f>
        <v>4902.01</v>
      </c>
      <c r="X24" s="17">
        <f>6544.99-1498.71</f>
        <v>5046.28</v>
      </c>
      <c r="Y24" s="50">
        <f t="shared" si="4"/>
        <v>51261.62000000001</v>
      </c>
      <c r="Z24" s="74">
        <f t="shared" si="5"/>
        <v>367251.62000000005</v>
      </c>
    </row>
    <row r="25" spans="1:26" ht="13.5" customHeight="1" thickBot="1">
      <c r="A25" s="41" t="s">
        <v>53</v>
      </c>
      <c r="B25" s="37" t="s">
        <v>3</v>
      </c>
      <c r="C25" s="49">
        <v>1860.08</v>
      </c>
      <c r="D25" s="63">
        <v>4272.78</v>
      </c>
      <c r="E25" s="49">
        <v>2817.74</v>
      </c>
      <c r="F25" s="49">
        <v>2751.59</v>
      </c>
      <c r="G25" s="49">
        <v>3494.1</v>
      </c>
      <c r="H25" s="49">
        <v>2601.97</v>
      </c>
      <c r="I25" s="49">
        <v>2690.09</v>
      </c>
      <c r="J25" s="49">
        <v>2891.94</v>
      </c>
      <c r="K25" s="49">
        <v>2895.79</v>
      </c>
      <c r="L25" s="49">
        <v>2540.77</v>
      </c>
      <c r="M25" s="11">
        <f>5.28+204.41</f>
        <v>209.69</v>
      </c>
      <c r="N25" s="12">
        <f>5.64+218.35</f>
        <v>223.98999999999998</v>
      </c>
      <c r="O25" s="12">
        <f>5.3+205.07</f>
        <v>210.37</v>
      </c>
      <c r="P25" s="12">
        <f>4.93+190.72</f>
        <v>195.65</v>
      </c>
      <c r="Q25" s="12">
        <f>5.67+219.42</f>
        <v>225.08999999999997</v>
      </c>
      <c r="R25" s="12">
        <f>5.3+205.11</f>
        <v>210.41000000000003</v>
      </c>
      <c r="S25" s="12">
        <f>4.97+192.5</f>
        <v>197.47</v>
      </c>
      <c r="T25" s="12">
        <f>5.92+217.61</f>
        <v>223.53</v>
      </c>
      <c r="U25" s="12">
        <f>5.6+205.07</f>
        <v>210.67</v>
      </c>
      <c r="V25" s="12">
        <f>5.26+192.54</f>
        <v>197.79999999999998</v>
      </c>
      <c r="W25" s="12">
        <f>5.94+217.61</f>
        <v>223.55</v>
      </c>
      <c r="X25" s="19">
        <f>5.21+190.78</f>
        <v>195.99</v>
      </c>
      <c r="Y25" s="50">
        <f t="shared" si="4"/>
        <v>2524.21</v>
      </c>
      <c r="Z25" s="74">
        <f t="shared" si="5"/>
        <v>31341.059999999998</v>
      </c>
    </row>
    <row r="26" spans="1:26" ht="13.5" customHeight="1" thickBot="1">
      <c r="A26" s="41"/>
      <c r="B26" s="44" t="s">
        <v>56</v>
      </c>
      <c r="C26" s="65"/>
      <c r="D26" s="66"/>
      <c r="E26" s="65"/>
      <c r="F26" s="65"/>
      <c r="G26" s="68">
        <f>G8*5%</f>
        <v>3489.7440000000006</v>
      </c>
      <c r="H26" s="68">
        <f>H8*5%</f>
        <v>3489.7440000000006</v>
      </c>
      <c r="I26" s="68">
        <f>I8*5%</f>
        <v>3490.1120000000005</v>
      </c>
      <c r="J26" s="76">
        <f>J8*5%</f>
        <v>3490.2960000000003</v>
      </c>
      <c r="K26" s="76">
        <f>K8*5%</f>
        <v>3488.456</v>
      </c>
      <c r="L26" s="76">
        <f>(L8+L9)*5%</f>
        <v>3341.9610000000002</v>
      </c>
      <c r="M26" s="67">
        <f>(M8+M9)*5%</f>
        <v>278.5595</v>
      </c>
      <c r="N26" s="67">
        <f aca="true" t="shared" si="6" ref="N26:X26">(N8+N9)*5%</f>
        <v>278.5595</v>
      </c>
      <c r="O26" s="67">
        <f t="shared" si="6"/>
        <v>278.5595</v>
      </c>
      <c r="P26" s="67">
        <f t="shared" si="6"/>
        <v>278.5595</v>
      </c>
      <c r="Q26" s="67">
        <f t="shared" si="6"/>
        <v>278.5595</v>
      </c>
      <c r="R26" s="67">
        <f t="shared" si="6"/>
        <v>278.5595</v>
      </c>
      <c r="S26" s="67">
        <f t="shared" si="6"/>
        <v>278.957</v>
      </c>
      <c r="T26" s="67">
        <f t="shared" si="6"/>
        <v>278.957</v>
      </c>
      <c r="U26" s="67">
        <f t="shared" si="6"/>
        <v>278.957</v>
      </c>
      <c r="V26" s="67">
        <f t="shared" si="6"/>
        <v>278.957</v>
      </c>
      <c r="W26" s="67">
        <f t="shared" si="6"/>
        <v>278.957</v>
      </c>
      <c r="X26" s="67">
        <f t="shared" si="6"/>
        <v>278.957</v>
      </c>
      <c r="Y26" s="68">
        <f t="shared" si="4"/>
        <v>3345.0989999999997</v>
      </c>
      <c r="Z26" s="75"/>
    </row>
    <row r="27" spans="1:26" ht="16.5" customHeight="1" thickBot="1">
      <c r="A27" s="41" t="s">
        <v>39</v>
      </c>
      <c r="B27" s="55" t="s">
        <v>49</v>
      </c>
      <c r="C27" s="56"/>
      <c r="D27" s="64"/>
      <c r="E27" s="56"/>
      <c r="F27" s="56"/>
      <c r="G27" s="56"/>
      <c r="H27" s="56"/>
      <c r="I27" s="56"/>
      <c r="J27" s="77">
        <f>SUM(J8+J9-J11)-J26</f>
        <v>5833.4639999999945</v>
      </c>
      <c r="K27" s="77">
        <f>SUM(K8+K9-K11)-K26</f>
        <v>-9716.435999999996</v>
      </c>
      <c r="L27" s="77">
        <f>SUM(L8+L9-L11)-L26</f>
        <v>575.4890000000041</v>
      </c>
      <c r="M27" s="69">
        <f>SUM(M8+M9+M10-M11)-M26</f>
        <v>669.5404999999994</v>
      </c>
      <c r="N27" s="69">
        <f aca="true" t="shared" si="7" ref="N27:X27">SUM(N8+N9+N10-N11)-N26</f>
        <v>-3580.6194999999984</v>
      </c>
      <c r="O27" s="69">
        <f t="shared" si="7"/>
        <v>561.7504999999994</v>
      </c>
      <c r="P27" s="69">
        <f t="shared" si="7"/>
        <v>1055.5805000000003</v>
      </c>
      <c r="Q27" s="69">
        <f t="shared" si="7"/>
        <v>906.7804999999992</v>
      </c>
      <c r="R27" s="69">
        <f t="shared" si="7"/>
        <v>804.8504999999998</v>
      </c>
      <c r="S27" s="69">
        <f t="shared" si="7"/>
        <v>-423.03700000000083</v>
      </c>
      <c r="T27" s="69">
        <f t="shared" si="7"/>
        <v>-615.3670000000008</v>
      </c>
      <c r="U27" s="69">
        <f t="shared" si="7"/>
        <v>-180.5770000000008</v>
      </c>
      <c r="V27" s="69">
        <f t="shared" si="7"/>
        <v>-551.0470000000001</v>
      </c>
      <c r="W27" s="69">
        <f t="shared" si="7"/>
        <v>-277.34700000000123</v>
      </c>
      <c r="X27" s="69">
        <f t="shared" si="7"/>
        <v>-844.8070000000004</v>
      </c>
      <c r="Y27" s="68">
        <f t="shared" si="4"/>
        <v>-2474.2990000000045</v>
      </c>
      <c r="Z27" s="75"/>
    </row>
    <row r="28" spans="1:26" ht="24.75" customHeight="1" thickBot="1">
      <c r="A28" s="78" t="s">
        <v>40</v>
      </c>
      <c r="B28" s="85" t="s">
        <v>22</v>
      </c>
      <c r="C28" s="86">
        <v>-18468.88</v>
      </c>
      <c r="D28" s="87">
        <f>SUM(D8-D11)</f>
        <v>-4870.709999999992</v>
      </c>
      <c r="E28" s="88">
        <f>SUM(E8-E11)</f>
        <v>-18246.560000000027</v>
      </c>
      <c r="F28" s="88">
        <f>SUM(F8-F11)</f>
        <v>8116.139999999999</v>
      </c>
      <c r="G28" s="89">
        <f>SUM(G8-G11)-G26</f>
        <v>1057.2460000000046</v>
      </c>
      <c r="H28" s="89">
        <f>SUM(H8-H11)-H26</f>
        <v>-5011.124000000005</v>
      </c>
      <c r="I28" s="89">
        <f>SUM(I8-I11)-I26</f>
        <v>3132.768000000004</v>
      </c>
      <c r="J28" s="89">
        <f>SUM(J8+J9-J11)-J26</f>
        <v>5833.4639999999945</v>
      </c>
      <c r="K28" s="89">
        <f>SUM(K8+K9-K11)-K26</f>
        <v>-9716.435999999996</v>
      </c>
      <c r="L28" s="89">
        <f>SUM(L8+L9-L11)-L26</f>
        <v>575.4890000000041</v>
      </c>
      <c r="M28" s="90">
        <f>SUM(M8+M9+M10-M11)-M26</f>
        <v>669.5404999999994</v>
      </c>
      <c r="N28" s="91">
        <f>SUM(N27+M28)</f>
        <v>-2911.078999999999</v>
      </c>
      <c r="O28" s="91">
        <f aca="true" t="shared" si="8" ref="O28:X28">SUM(O27+N28)</f>
        <v>-2349.3284999999996</v>
      </c>
      <c r="P28" s="91">
        <f t="shared" si="8"/>
        <v>-1293.7479999999994</v>
      </c>
      <c r="Q28" s="91">
        <f t="shared" si="8"/>
        <v>-386.9675000000002</v>
      </c>
      <c r="R28" s="91">
        <f t="shared" si="8"/>
        <v>417.8829999999996</v>
      </c>
      <c r="S28" s="91">
        <f t="shared" si="8"/>
        <v>-5.154000000001247</v>
      </c>
      <c r="T28" s="91">
        <f t="shared" si="8"/>
        <v>-620.521000000002</v>
      </c>
      <c r="U28" s="91">
        <f t="shared" si="8"/>
        <v>-801.0980000000028</v>
      </c>
      <c r="V28" s="91">
        <f t="shared" si="8"/>
        <v>-1352.145000000003</v>
      </c>
      <c r="W28" s="91">
        <f t="shared" si="8"/>
        <v>-1629.4920000000043</v>
      </c>
      <c r="X28" s="91">
        <f t="shared" si="8"/>
        <v>-2474.2990000000045</v>
      </c>
      <c r="Y28" s="88"/>
      <c r="Z28" s="92"/>
    </row>
    <row r="29" spans="1:26" ht="21" customHeight="1" thickBot="1">
      <c r="A29" s="41" t="s">
        <v>41</v>
      </c>
      <c r="B29" s="44" t="s">
        <v>23</v>
      </c>
      <c r="C29" s="44">
        <v>-18468.88</v>
      </c>
      <c r="D29" s="18">
        <f>SUM(D8-D11,C29)</f>
        <v>-23339.589999999993</v>
      </c>
      <c r="E29" s="50">
        <f>SUM(E8-E11,D29)</f>
        <v>-41586.15000000002</v>
      </c>
      <c r="F29" s="50">
        <f>SUM(F8-F11,E29)</f>
        <v>-33470.010000000024</v>
      </c>
      <c r="G29" s="71">
        <f aca="true" t="shared" si="9" ref="G29:M29">SUM(G28+F29)</f>
        <v>-32412.764000000017</v>
      </c>
      <c r="H29" s="71">
        <f t="shared" si="9"/>
        <v>-37423.88800000002</v>
      </c>
      <c r="I29" s="71">
        <f t="shared" si="9"/>
        <v>-34291.12000000002</v>
      </c>
      <c r="J29" s="71">
        <f t="shared" si="9"/>
        <v>-28457.656000000025</v>
      </c>
      <c r="K29" s="71">
        <f t="shared" si="9"/>
        <v>-38174.09200000002</v>
      </c>
      <c r="L29" s="71">
        <f t="shared" si="9"/>
        <v>-37598.60300000002</v>
      </c>
      <c r="M29" s="71">
        <f t="shared" si="9"/>
        <v>-36929.062500000015</v>
      </c>
      <c r="N29" s="70">
        <f>SUM(N27+M29)</f>
        <v>-40509.682000000015</v>
      </c>
      <c r="O29" s="70">
        <f aca="true" t="shared" si="10" ref="O29:W29">SUM(O27+N29)</f>
        <v>-39947.93150000001</v>
      </c>
      <c r="P29" s="70">
        <f t="shared" si="10"/>
        <v>-38892.35100000001</v>
      </c>
      <c r="Q29" s="70">
        <f t="shared" si="10"/>
        <v>-37985.57050000001</v>
      </c>
      <c r="R29" s="70">
        <f t="shared" si="10"/>
        <v>-37180.72000000001</v>
      </c>
      <c r="S29" s="70">
        <f t="shared" si="10"/>
        <v>-37603.75700000001</v>
      </c>
      <c r="T29" s="70">
        <f t="shared" si="10"/>
        <v>-38219.12400000001</v>
      </c>
      <c r="U29" s="70">
        <f t="shared" si="10"/>
        <v>-38399.70100000001</v>
      </c>
      <c r="V29" s="70">
        <f t="shared" si="10"/>
        <v>-38950.74800000001</v>
      </c>
      <c r="W29" s="70">
        <f t="shared" si="10"/>
        <v>-39228.09500000001</v>
      </c>
      <c r="X29" s="70">
        <f>SUM(X27+W29)</f>
        <v>-40072.90200000001</v>
      </c>
      <c r="Y29" s="50"/>
      <c r="Z29" s="30"/>
    </row>
    <row r="30" spans="1:26" ht="10.5" customHeight="1" hidden="1" thickBot="1">
      <c r="A30" s="41" t="s">
        <v>41</v>
      </c>
      <c r="B30" s="44" t="s">
        <v>7</v>
      </c>
      <c r="C30" s="45"/>
      <c r="D30" s="45"/>
      <c r="E30" s="58"/>
      <c r="F30" s="58"/>
      <c r="G30" s="58"/>
      <c r="H30" s="58"/>
      <c r="I30" s="58"/>
      <c r="J30" s="58"/>
      <c r="K30" s="58"/>
      <c r="L30" s="58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0"/>
      <c r="Y30" s="50"/>
      <c r="Z30" s="23"/>
    </row>
    <row r="31" spans="1:26" ht="15" customHeight="1" hidden="1" thickBot="1">
      <c r="A31" s="41" t="s">
        <v>42</v>
      </c>
      <c r="B31" s="38" t="s">
        <v>24</v>
      </c>
      <c r="C31" s="45"/>
      <c r="D31" s="45"/>
      <c r="E31" s="58"/>
      <c r="F31" s="58"/>
      <c r="G31" s="58"/>
      <c r="H31" s="58"/>
      <c r="I31" s="58"/>
      <c r="J31" s="58"/>
      <c r="K31" s="58"/>
      <c r="L31" s="58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0"/>
      <c r="Y31" s="53"/>
      <c r="Z31" s="22"/>
    </row>
    <row r="32" spans="1:26" ht="24" customHeight="1" hidden="1" thickBot="1">
      <c r="A32" s="42" t="s">
        <v>43</v>
      </c>
      <c r="B32" s="39" t="s">
        <v>46</v>
      </c>
      <c r="C32" s="46"/>
      <c r="D32" s="46"/>
      <c r="E32" s="59"/>
      <c r="F32" s="59"/>
      <c r="G32" s="59"/>
      <c r="H32" s="59"/>
      <c r="I32" s="59"/>
      <c r="J32" s="59"/>
      <c r="K32" s="59"/>
      <c r="L32" s="59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8">
        <f>SUM(X28-X30)</f>
        <v>-2474.2990000000045</v>
      </c>
      <c r="Y32" s="54"/>
      <c r="Z32" s="29"/>
    </row>
    <row r="33" spans="1:26" ht="24" customHeight="1" hidden="1" thickBot="1">
      <c r="A33" s="42" t="s">
        <v>45</v>
      </c>
      <c r="B33" s="39" t="s">
        <v>25</v>
      </c>
      <c r="C33" s="46"/>
      <c r="D33" s="46"/>
      <c r="E33" s="59"/>
      <c r="F33" s="59"/>
      <c r="G33" s="59"/>
      <c r="H33" s="59"/>
      <c r="I33" s="59"/>
      <c r="J33" s="59"/>
      <c r="K33" s="59"/>
      <c r="L33" s="59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8">
        <f>SUM(X29-X30)</f>
        <v>-40072.90200000001</v>
      </c>
      <c r="Y33" s="54"/>
      <c r="Z33" s="29"/>
    </row>
    <row r="34" spans="3:26" ht="24" customHeight="1" hidden="1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6"/>
    </row>
    <row r="35" ht="12.75">
      <c r="B35" t="s">
        <v>63</v>
      </c>
    </row>
    <row r="36" ht="12.75" hidden="1"/>
    <row r="37" ht="12.75" hidden="1"/>
    <row r="38" ht="12.75" hidden="1"/>
    <row r="43" ht="12.75" customHeight="1"/>
    <row r="44" ht="12.75" customHeight="1"/>
  </sheetData>
  <sheetProtection/>
  <mergeCells count="5">
    <mergeCell ref="B4:Z4"/>
    <mergeCell ref="B5:Z5"/>
    <mergeCell ref="B3:Z3"/>
    <mergeCell ref="B1:O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2021-02-04T12:39:56Z</cp:lastPrinted>
  <dcterms:created xsi:type="dcterms:W3CDTF">2011-06-16T11:06:26Z</dcterms:created>
  <dcterms:modified xsi:type="dcterms:W3CDTF">2021-02-04T12:40:18Z</dcterms:modified>
  <cp:category/>
  <cp:version/>
  <cp:contentType/>
  <cp:contentStatus/>
</cp:coreProperties>
</file>