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<sst xmlns="http://schemas.openxmlformats.org/spreadsheetml/2006/main" count="87" uniqueCount="86">
  <si>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</si>
  <si>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</si>
  <si>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</si>
  <si>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</si>
  <si>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</si>
  <si>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</si>
  <si>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</si>
  <si>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</si>
  <si>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</si>
  <si>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</si>
  <si>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</si>
  <si>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</si>
  <si>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</si>
  <si>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</si>
  <si>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</si>
  <si>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</si>
  <si>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</si>
  <si>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</si>
  <si>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</si>
  <si>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</si>
  <si>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</si>
  <si>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</si>
  <si>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</si>
  <si>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</si>
  <si>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</si>
  <si>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</si>
  <si>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</si>
  <si>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</si>
  <si>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</si>
  <si>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</si>
  <si>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</si>
  <si>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</si>
  <si>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</si>
  <si>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</si>
  <si>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</si>
  <si>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</si>
  <si>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</si>
  <si>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</si>
  <si>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</si>
  <si>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</si>
  <si>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</si>
  <si>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</si>
  <si>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</si>
  <si>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</si>
  <si>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</si>
  <si>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</si>
  <si>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Результат за месяц</t>
  </si>
  <si>
    <t>Итого  за 2012 г</t>
  </si>
  <si>
    <t>Благоустройство территории</t>
  </si>
  <si>
    <t>по жилому дому г. Унеча ул. Октябрьская д.5</t>
  </si>
  <si>
    <t>4.13</t>
  </si>
  <si>
    <t>4.14</t>
  </si>
  <si>
    <t>8262,54</t>
  </si>
  <si>
    <t>Итого  за 2013 г</t>
  </si>
  <si>
    <t>12352,58</t>
  </si>
  <si>
    <t>Итого  за 2014 г</t>
  </si>
  <si>
    <t>Материалы</t>
  </si>
  <si>
    <t>рентабельность 5%</t>
  </si>
  <si>
    <t>11800,78</t>
  </si>
  <si>
    <t>Итого 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</si>
  <si>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</si>
  <si>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</si>
  <si>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</si>
  <si>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экономитст /Викторова Л.С./</t>
  </si>
  <si>
    <t>Итого  за 2016 г</t>
  </si>
  <si>
    <t>8264,19</t>
  </si>
  <si>
    <t>4.3</t>
  </si>
  <si>
    <t>Проверка вент.каналов</t>
  </si>
  <si>
    <t>7371,24</t>
  </si>
  <si>
    <t>Итого  за 2017 г</t>
  </si>
  <si>
    <t>Начислено  СОИД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</si>
  <si>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</si>
  <si>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</si>
  <si>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</si>
  <si>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Транспортные(ГСМ,зап.части,амортизация,страхован)</t>
  </si>
  <si>
    <t>7045,76</t>
  </si>
  <si>
    <t>Итого  за 2018 г</t>
  </si>
  <si>
    <t>7449,41</t>
  </si>
  <si>
    <t>Итого  за 2019 г</t>
  </si>
  <si>
    <t>Дом по ул.Октябрьская д 5 вступил в ООО "Наш дом" с января 2012 года         тариф 10,35 руб с января 2019 года тариф 9,6 руб.</t>
  </si>
  <si>
    <t>ООО "НД УНЕЧА"</t>
  </si>
  <si>
    <t>86,97</t>
  </si>
  <si>
    <t>Итого  за 2020 г</t>
  </si>
  <si>
    <t>Всего за 2012-2020</t>
  </si>
  <si>
    <t>Утилизация</t>
  </si>
  <si>
    <t>Прочие доходы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</si>
</sst>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wrapText="1"/>
    </xf>
    <xf numFmtId="0" fontId="21" fillId="0" borderId="15" xfId="0" applyFont="1" applyBorder="1" applyAlignment="1">
      <alignment horizontal="left" wrapText="1"/>
    </xf>
    <xf numFmtId="49" fontId="21" fillId="0" borderId="14" xfId="0" applyNumberFormat="1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2" borderId="17" xfId="0" applyFont="1" applyFill="1" applyBorder="1" applyAlignment="1">
      <alignment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21" fillId="0" borderId="21" xfId="0" applyFont="1" applyBorder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2" borderId="13" xfId="0" applyFill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4" xfId="0" applyFont="1" applyBorder="1" applyAlignment="1">
      <alignment/>
    </xf>
    <xf numFmtId="0" fontId="20" fillId="2" borderId="25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1" fillId="0" borderId="22" xfId="0" applyFont="1" applyBorder="1" applyAlignment="1">
      <alignment wrapText="1"/>
    </xf>
    <xf numFmtId="2" fontId="25" fillId="0" borderId="26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7" xfId="0" applyFont="1" applyBorder="1" applyAlignment="1">
      <alignment/>
    </xf>
    <xf numFmtId="0" fontId="20" fillId="2" borderId="27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2" borderId="12" xfId="0" applyFont="1" applyFill="1" applyBorder="1" applyAlignment="1">
      <alignment wrapText="1"/>
    </xf>
    <xf numFmtId="0" fontId="21" fillId="0" borderId="32" xfId="0" applyFont="1" applyBorder="1" applyAlignment="1">
      <alignment/>
    </xf>
    <xf numFmtId="0" fontId="26" fillId="0" borderId="18" xfId="0" applyFont="1" applyBorder="1" applyAlignment="1">
      <alignment wrapText="1"/>
    </xf>
    <xf numFmtId="49" fontId="21" fillId="0" borderId="23" xfId="0" applyNumberFormat="1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1" fillId="0" borderId="20" xfId="0" applyFont="1" applyBorder="1" applyAlignment="1">
      <alignment horizontal="right" wrapText="1"/>
    </xf>
    <xf numFmtId="0" fontId="21" fillId="0" borderId="24" xfId="0" applyFont="1" applyBorder="1" applyAlignment="1">
      <alignment wrapText="1"/>
    </xf>
    <xf numFmtId="0" fontId="25" fillId="0" borderId="26" xfId="0" applyFont="1" applyBorder="1" applyAlignment="1">
      <alignment/>
    </xf>
    <xf numFmtId="0" fontId="21" fillId="0" borderId="21" xfId="0" applyFont="1" applyBorder="1" applyAlignment="1">
      <alignment horizontal="right" wrapText="1"/>
    </xf>
    <xf numFmtId="2" fontId="21" fillId="0" borderId="13" xfId="0" applyNumberFormat="1" applyFont="1" applyBorder="1" applyAlignment="1">
      <alignment/>
    </xf>
    <xf numFmtId="2" fontId="21" fillId="0" borderId="21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6" fillId="0" borderId="23" xfId="0" applyFont="1" applyBorder="1" applyAlignment="1">
      <alignment wrapText="1"/>
    </xf>
    <xf numFmtId="2" fontId="21" fillId="0" borderId="24" xfId="0" applyNumberFormat="1" applyFont="1" applyBorder="1" applyAlignment="1">
      <alignment/>
    </xf>
    <xf numFmtId="49" fontId="22" fillId="0" borderId="19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27" fillId="0" borderId="21" xfId="0" applyFont="1" applyBorder="1" applyAlignment="1">
      <alignment horizontal="right"/>
    </xf>
    <xf numFmtId="0" fontId="27" fillId="0" borderId="21" xfId="0" applyFont="1" applyBorder="1" applyAlignment="1">
      <alignment/>
    </xf>
    <xf numFmtId="0" fontId="27" fillId="0" borderId="31" xfId="0" applyFont="1" applyBorder="1" applyAlignment="1">
      <alignment/>
    </xf>
    <xf numFmtId="0" fontId="28" fillId="0" borderId="18" xfId="0" applyFont="1" applyBorder="1" applyAlignment="1">
      <alignment/>
    </xf>
    <xf numFmtId="0" fontId="22" fillId="0" borderId="0" xfId="0" applyFont="1" applyAlignment="1">
      <alignment/>
    </xf>
    <xf numFmtId="2" fontId="27" fillId="0" borderId="21" xfId="0" applyNumberFormat="1" applyFont="1" applyBorder="1" applyAlignment="1">
      <alignment/>
    </xf>
    <xf numFmtId="0" fontId="22" fillId="0" borderId="26" xfId="0" applyFont="1" applyBorder="1" applyAlignment="1">
      <alignment/>
    </xf>
    <xf numFmtId="2" fontId="21" fillId="0" borderId="31" xfId="0" applyNumberFormat="1" applyFont="1" applyBorder="1" applyAlignment="1">
      <alignment/>
    </xf>
    <xf numFmtId="49" fontId="27" fillId="0" borderId="21" xfId="0" applyNumberFormat="1" applyFont="1" applyBorder="1" applyAlignment="1">
      <alignment horizontal="right"/>
    </xf>
    <xf numFmtId="0" fontId="21" fillId="0" borderId="33" xfId="0" applyFont="1" applyBorder="1" applyAlignment="1">
      <alignment/>
    </xf>
    <xf numFmtId="0" fontId="21" fillId="0" borderId="14" xfId="0" applyFont="1" applyBorder="1" applyAlignment="1">
      <alignment/>
    </xf>
    <xf numFmtId="0" fontId="27" fillId="0" borderId="21" xfId="0" applyFont="1" applyBorder="1" applyAlignment="1">
      <alignment wrapText="1"/>
    </xf>
    <xf numFmtId="2" fontId="27" fillId="0" borderId="31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8">
      <selection activeCell="B11" sqref="B11"/>
    </sheetView>
  </sheetViews>
  <sheetFormatPr defaultColWidth="9.00390625" defaultRowHeight="12.75"/>
  <cols>
    <col min="1" max="1" width="4.00390625" style="11" customWidth="1"/>
    <col min="2" max="2" width="21.75390625" style="0" customWidth="1"/>
    <col min="3" max="3" width="9.375" style="0" hidden="1" customWidth="1"/>
    <col min="4" max="4" width="0.12890625" style="0" hidden="1" customWidth="1"/>
    <col min="5" max="5" width="9.625" style="0" hidden="1" customWidth="1"/>
    <col min="6" max="6" width="9.375" style="0" hidden="1" customWidth="1"/>
    <col min="7" max="7" width="9.25390625" style="0" hidden="1" customWidth="1"/>
    <col min="8" max="8" width="8.25390625" style="0" hidden="1" customWidth="1"/>
    <col min="9" max="10" width="9.75390625" style="0" hidden="1" customWidth="1"/>
    <col min="11" max="11" width="9.375" style="0" customWidth="1"/>
    <col min="12" max="12" width="8.25390625" style="0" customWidth="1"/>
    <col min="13" max="13" width="8.625" style="0" customWidth="1"/>
    <col min="14" max="14" width="8.00390625" style="0" customWidth="1"/>
    <col min="15" max="15" width="8.25390625" style="0" customWidth="1"/>
    <col min="16" max="16" width="8.625" style="0" customWidth="1"/>
    <col min="17" max="17" width="8.75390625" style="0" customWidth="1"/>
    <col min="18" max="18" width="8.375" style="0" customWidth="1"/>
    <col min="19" max="19" width="8.75390625" style="0" customWidth="1"/>
    <col min="20" max="20" width="8.25390625" style="0" customWidth="1"/>
    <col min="21" max="21" width="8.125" style="0" customWidth="1"/>
    <col min="22" max="22" width="8.625" style="0" customWidth="1"/>
    <col min="23" max="23" width="8.125" style="0" customWidth="1"/>
    <col min="24" max="24" width="9.625" style="0" hidden="1" customWidth="1"/>
  </cols>
  <sheetData>
    <row r="1" spans="2:29" ht="12.75" customHeight="1">
      <c r="B1" s="81" t="s">
        <v>80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81" t="s">
        <v>79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2"/>
      <c r="Y2" s="4"/>
      <c r="Z2" s="4"/>
      <c r="AA2" s="4"/>
      <c r="AB2" s="4"/>
      <c r="AC2" s="4"/>
    </row>
    <row r="3" spans="2:29" ht="12.75" customHeight="1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3"/>
      <c r="Z3" s="3"/>
      <c r="AA3" s="3"/>
      <c r="AB3" s="3"/>
      <c r="AC3" s="3"/>
    </row>
    <row r="4" spans="2:29" ht="16.5" customHeight="1">
      <c r="B4" s="79" t="s">
        <v>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2"/>
      <c r="Z4" s="2"/>
      <c r="AA4" s="2"/>
      <c r="AB4" s="2"/>
      <c r="AC4" s="2"/>
    </row>
    <row r="5" spans="2:29" ht="16.5" customHeight="1" thickBot="1">
      <c r="B5" s="79" t="s">
        <v>49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6" customHeight="1" thickBot="1">
      <c r="A7" s="20" t="s">
        <v>26</v>
      </c>
      <c r="B7" s="12" t="s">
        <v>6</v>
      </c>
      <c r="C7" s="29" t="s">
        <v>47</v>
      </c>
      <c r="D7" s="29" t="s">
        <v>53</v>
      </c>
      <c r="E7" s="29" t="s">
        <v>55</v>
      </c>
      <c r="F7" s="29" t="s">
        <v>59</v>
      </c>
      <c r="G7" s="29" t="s">
        <v>64</v>
      </c>
      <c r="H7" s="29" t="s">
        <v>69</v>
      </c>
      <c r="I7" s="29" t="s">
        <v>76</v>
      </c>
      <c r="J7" s="29" t="s">
        <v>78</v>
      </c>
      <c r="K7" s="47" t="s">
        <v>10</v>
      </c>
      <c r="L7" s="29" t="s">
        <v>11</v>
      </c>
      <c r="M7" s="47" t="s">
        <v>12</v>
      </c>
      <c r="N7" s="29" t="s">
        <v>13</v>
      </c>
      <c r="O7" s="47" t="s">
        <v>14</v>
      </c>
      <c r="P7" s="29" t="s">
        <v>15</v>
      </c>
      <c r="Q7" s="47" t="s">
        <v>16</v>
      </c>
      <c r="R7" s="29" t="s">
        <v>17</v>
      </c>
      <c r="S7" s="47" t="s">
        <v>18</v>
      </c>
      <c r="T7" s="29" t="s">
        <v>19</v>
      </c>
      <c r="U7" s="47" t="s">
        <v>21</v>
      </c>
      <c r="V7" s="29" t="s">
        <v>20</v>
      </c>
      <c r="W7" s="29" t="s">
        <v>82</v>
      </c>
      <c r="X7" s="24" t="s">
        <v>83</v>
      </c>
      <c r="Y7" s="1"/>
      <c r="Z7" s="1"/>
      <c r="AA7" s="1"/>
      <c r="AB7" s="1"/>
      <c r="AC7" s="1"/>
    </row>
    <row r="8" spans="1:24" ht="13.5" thickBot="1">
      <c r="A8" s="21" t="s">
        <v>27</v>
      </c>
      <c r="B8" s="13" t="s">
        <v>1</v>
      </c>
      <c r="C8" s="52">
        <v>104916.48</v>
      </c>
      <c r="D8" s="52">
        <v>104933.04</v>
      </c>
      <c r="E8" s="52">
        <v>104933.04</v>
      </c>
      <c r="F8" s="52">
        <v>104933.04</v>
      </c>
      <c r="G8" s="52">
        <v>104870.96</v>
      </c>
      <c r="H8" s="52">
        <v>69796.92</v>
      </c>
      <c r="I8" s="52">
        <v>69796.92</v>
      </c>
      <c r="J8" s="52">
        <v>64738.92</v>
      </c>
      <c r="K8" s="51">
        <v>5394.91</v>
      </c>
      <c r="L8" s="37">
        <v>5394.91</v>
      </c>
      <c r="M8" s="51">
        <v>5394.91</v>
      </c>
      <c r="N8" s="37">
        <v>5394.91</v>
      </c>
      <c r="O8" s="51">
        <v>5394.91</v>
      </c>
      <c r="P8" s="37">
        <v>5394.91</v>
      </c>
      <c r="Q8" s="51">
        <v>5394.91</v>
      </c>
      <c r="R8" s="37">
        <v>5394.91</v>
      </c>
      <c r="S8" s="51">
        <v>5394.91</v>
      </c>
      <c r="T8" s="37">
        <v>5394.91</v>
      </c>
      <c r="U8" s="75">
        <v>5394.91</v>
      </c>
      <c r="V8" s="37">
        <v>5619.7</v>
      </c>
      <c r="W8" s="30">
        <f>SUM(K8:V8)</f>
        <v>64963.71000000001</v>
      </c>
      <c r="X8" s="34">
        <f>SUM(C8:V8)</f>
        <v>793883.0300000004</v>
      </c>
    </row>
    <row r="9" spans="1:24" ht="13.5" thickBot="1">
      <c r="A9" s="21"/>
      <c r="B9" s="13" t="s">
        <v>70</v>
      </c>
      <c r="C9" s="62"/>
      <c r="D9" s="62"/>
      <c r="E9" s="62"/>
      <c r="F9" s="62"/>
      <c r="G9" s="62"/>
      <c r="H9" s="62">
        <v>8138.05</v>
      </c>
      <c r="I9" s="62">
        <v>6529.35</v>
      </c>
      <c r="J9" s="62">
        <v>900.3</v>
      </c>
      <c r="K9" s="43">
        <f aca="true" t="shared" si="0" ref="K9:P9">39.31+38.01</f>
        <v>77.32</v>
      </c>
      <c r="L9" s="30">
        <f t="shared" si="0"/>
        <v>77.32</v>
      </c>
      <c r="M9" s="43">
        <f t="shared" si="0"/>
        <v>77.32</v>
      </c>
      <c r="N9" s="30">
        <f t="shared" si="0"/>
        <v>77.32</v>
      </c>
      <c r="O9" s="43">
        <f t="shared" si="0"/>
        <v>77.32</v>
      </c>
      <c r="P9" s="30">
        <f t="shared" si="0"/>
        <v>77.32</v>
      </c>
      <c r="Q9" s="43">
        <f aca="true" t="shared" si="1" ref="Q9:V9">40.88+38.13</f>
        <v>79.01</v>
      </c>
      <c r="R9" s="30">
        <f t="shared" si="1"/>
        <v>79.01</v>
      </c>
      <c r="S9" s="43">
        <f t="shared" si="1"/>
        <v>79.01</v>
      </c>
      <c r="T9" s="30">
        <f t="shared" si="1"/>
        <v>79.01</v>
      </c>
      <c r="U9" s="76">
        <f t="shared" si="1"/>
        <v>79.01</v>
      </c>
      <c r="V9" s="30">
        <f t="shared" si="1"/>
        <v>79.01</v>
      </c>
      <c r="W9" s="30">
        <f>SUM(K9:V9)</f>
        <v>937.9799999999999</v>
      </c>
      <c r="X9" s="34">
        <f>SUM(C9:V9)</f>
        <v>16505.679999999997</v>
      </c>
    </row>
    <row r="10" spans="1:24" ht="12" customHeight="1" thickBot="1">
      <c r="A10" s="21"/>
      <c r="B10" s="13" t="s">
        <v>85</v>
      </c>
      <c r="C10" s="62"/>
      <c r="D10" s="62"/>
      <c r="E10" s="62"/>
      <c r="F10" s="62"/>
      <c r="G10" s="62"/>
      <c r="H10" s="62">
        <v>48068.15</v>
      </c>
      <c r="I10" s="62">
        <v>48984.9</v>
      </c>
      <c r="J10" s="62">
        <v>47065.32</v>
      </c>
      <c r="K10" s="43">
        <f aca="true" t="shared" si="2" ref="K10:P10">3934.36+400</f>
        <v>4334.360000000001</v>
      </c>
      <c r="L10" s="40">
        <f t="shared" si="2"/>
        <v>4334.360000000001</v>
      </c>
      <c r="M10" s="43">
        <f t="shared" si="2"/>
        <v>4334.360000000001</v>
      </c>
      <c r="N10" s="40">
        <f t="shared" si="2"/>
        <v>4334.360000000001</v>
      </c>
      <c r="O10" s="43">
        <f t="shared" si="2"/>
        <v>4334.360000000001</v>
      </c>
      <c r="P10" s="40">
        <f t="shared" si="2"/>
        <v>4334.360000000001</v>
      </c>
      <c r="Q10" s="43">
        <f>3967.06+400</f>
        <v>4367.0599999999995</v>
      </c>
      <c r="R10" s="40">
        <f>3967.06+400</f>
        <v>4367.0599999999995</v>
      </c>
      <c r="S10" s="43">
        <f>3967.06+400</f>
        <v>4367.0599999999995</v>
      </c>
      <c r="T10" s="40">
        <f>3967.06+400</f>
        <v>4367.0599999999995</v>
      </c>
      <c r="U10" s="43">
        <f>3967.06+400</f>
        <v>4367.0599999999995</v>
      </c>
      <c r="V10" s="40">
        <f>4102.46+400</f>
        <v>4502.46</v>
      </c>
      <c r="W10" s="30">
        <f>SUM(K10:V10)</f>
        <v>52343.91999999999</v>
      </c>
      <c r="X10" s="34">
        <f>SUM(C10:V10)</f>
        <v>196462.2899999999</v>
      </c>
    </row>
    <row r="11" spans="1:24" s="70" customFormat="1" ht="13.5" thickBot="1">
      <c r="A11" s="64" t="s">
        <v>28</v>
      </c>
      <c r="B11" s="65" t="s">
        <v>2</v>
      </c>
      <c r="C11" s="66">
        <v>71413.03</v>
      </c>
      <c r="D11" s="67">
        <v>57207.81</v>
      </c>
      <c r="E11" s="67">
        <v>56329.33</v>
      </c>
      <c r="F11" s="67">
        <v>68636.2</v>
      </c>
      <c r="G11" s="67">
        <v>53184.42</v>
      </c>
      <c r="H11" s="67">
        <v>65269.75</v>
      </c>
      <c r="I11" s="67">
        <v>89232.84</v>
      </c>
      <c r="J11" s="74">
        <f>SUM(J12:J26)+86.97</f>
        <v>57002.64</v>
      </c>
      <c r="K11" s="68">
        <f>SUM(K12:K26)</f>
        <v>7967.99</v>
      </c>
      <c r="L11" s="67">
        <f aca="true" t="shared" si="3" ref="L11:T11">SUM(L12:L26)</f>
        <v>4194.41</v>
      </c>
      <c r="M11" s="68">
        <f t="shared" si="3"/>
        <v>4279.660000000001</v>
      </c>
      <c r="N11" s="67">
        <f t="shared" si="3"/>
        <v>4123.69</v>
      </c>
      <c r="O11" s="68">
        <f t="shared" si="3"/>
        <v>4418.26</v>
      </c>
      <c r="P11" s="67">
        <f t="shared" si="3"/>
        <v>4263.52</v>
      </c>
      <c r="Q11" s="68">
        <f t="shared" si="3"/>
        <v>4706.53</v>
      </c>
      <c r="R11" s="67">
        <f t="shared" si="3"/>
        <v>4678.88</v>
      </c>
      <c r="S11" s="68">
        <f t="shared" si="3"/>
        <v>14272.569999999998</v>
      </c>
      <c r="T11" s="67">
        <f t="shared" si="3"/>
        <v>5764.08</v>
      </c>
      <c r="U11" s="68">
        <f>SUM(U12:U26)</f>
        <v>5358.34</v>
      </c>
      <c r="V11" s="67">
        <f>SUM(V12:V26)</f>
        <v>5557.83</v>
      </c>
      <c r="W11" s="67">
        <f>SUM(K11:V11)</f>
        <v>69585.76000000001</v>
      </c>
      <c r="X11" s="69">
        <f aca="true" t="shared" si="4" ref="X11:X26">SUM(C11:V11)</f>
        <v>587861.7799999999</v>
      </c>
    </row>
    <row r="12" spans="1:24" ht="12.75" customHeight="1" thickBot="1">
      <c r="A12" s="21" t="s">
        <v>29</v>
      </c>
      <c r="B12" s="15" t="s">
        <v>84</v>
      </c>
      <c r="C12" s="53" t="s">
        <v>52</v>
      </c>
      <c r="D12" s="53" t="s">
        <v>54</v>
      </c>
      <c r="E12" s="53" t="s">
        <v>58</v>
      </c>
      <c r="F12" s="53" t="s">
        <v>65</v>
      </c>
      <c r="G12" s="53" t="s">
        <v>68</v>
      </c>
      <c r="H12" s="53" t="s">
        <v>75</v>
      </c>
      <c r="I12" s="53" t="s">
        <v>77</v>
      </c>
      <c r="J12" s="53" t="s">
        <v>81</v>
      </c>
      <c r="K12" s="43"/>
      <c r="L12" s="37">
        <v>5.67</v>
      </c>
      <c r="M12" s="43">
        <v>6.6</v>
      </c>
      <c r="N12" s="30">
        <v>7.4</v>
      </c>
      <c r="O12" s="43">
        <v>11.84</v>
      </c>
      <c r="P12" s="30">
        <v>8.72</v>
      </c>
      <c r="Q12" s="43">
        <v>13.82</v>
      </c>
      <c r="R12" s="30">
        <v>14.31</v>
      </c>
      <c r="S12" s="43">
        <v>33.97</v>
      </c>
      <c r="T12" s="30">
        <f>14.57</f>
        <v>14.57</v>
      </c>
      <c r="U12" s="43">
        <v>1.08</v>
      </c>
      <c r="V12" s="30">
        <v>1.44</v>
      </c>
      <c r="W12" s="31">
        <f aca="true" t="shared" si="5" ref="W12:W28">SUM(K12:V12)</f>
        <v>119.42</v>
      </c>
      <c r="X12" s="34">
        <f t="shared" si="4"/>
        <v>119.42</v>
      </c>
    </row>
    <row r="13" spans="1:24" ht="13.5" customHeight="1" thickBot="1">
      <c r="A13" s="21" t="s">
        <v>30</v>
      </c>
      <c r="B13" s="16" t="s">
        <v>60</v>
      </c>
      <c r="C13" s="54">
        <v>6331.74</v>
      </c>
      <c r="D13" s="54">
        <v>1045.85</v>
      </c>
      <c r="E13" s="54">
        <f>1473.56+3075</f>
        <v>4548.5599999999995</v>
      </c>
      <c r="F13" s="54">
        <v>6080.01</v>
      </c>
      <c r="G13" s="54">
        <v>1219.31</v>
      </c>
      <c r="H13" s="54">
        <v>138.85</v>
      </c>
      <c r="I13" s="54">
        <v>3474</v>
      </c>
      <c r="J13" s="54">
        <v>0</v>
      </c>
      <c r="K13" s="44">
        <v>3200</v>
      </c>
      <c r="L13" s="38"/>
      <c r="M13" s="44"/>
      <c r="N13" s="38"/>
      <c r="O13" s="44"/>
      <c r="P13" s="38"/>
      <c r="Q13" s="44"/>
      <c r="R13" s="38"/>
      <c r="S13" s="44">
        <v>3600</v>
      </c>
      <c r="T13" s="38"/>
      <c r="U13" s="44"/>
      <c r="V13" s="38"/>
      <c r="W13" s="31">
        <f t="shared" si="5"/>
        <v>6800</v>
      </c>
      <c r="X13" s="34">
        <f t="shared" si="4"/>
        <v>29638.32</v>
      </c>
    </row>
    <row r="14" spans="1:24" ht="15" customHeight="1" thickBot="1">
      <c r="A14" s="21" t="s">
        <v>66</v>
      </c>
      <c r="B14" s="16" t="s">
        <v>67</v>
      </c>
      <c r="C14" s="54"/>
      <c r="D14" s="54"/>
      <c r="E14" s="54"/>
      <c r="F14" s="54"/>
      <c r="G14" s="54">
        <v>800</v>
      </c>
      <c r="H14" s="54">
        <v>800</v>
      </c>
      <c r="I14" s="54">
        <v>500</v>
      </c>
      <c r="J14" s="54">
        <v>600</v>
      </c>
      <c r="K14" s="44"/>
      <c r="L14" s="38"/>
      <c r="M14" s="44"/>
      <c r="N14" s="38"/>
      <c r="O14" s="44"/>
      <c r="P14" s="38"/>
      <c r="Q14" s="44"/>
      <c r="R14" s="38"/>
      <c r="S14" s="44"/>
      <c r="T14" s="38"/>
      <c r="U14" s="44"/>
      <c r="V14" s="38"/>
      <c r="W14" s="31">
        <f>SUM(K14:V14)</f>
        <v>0</v>
      </c>
      <c r="X14" s="34">
        <f>SUM(C14:V14)</f>
        <v>2700</v>
      </c>
    </row>
    <row r="15" spans="1:24" ht="14.25" customHeight="1" thickBot="1">
      <c r="A15" s="21" t="s">
        <v>31</v>
      </c>
      <c r="B15" s="14" t="s">
        <v>4</v>
      </c>
      <c r="C15" s="54">
        <v>4452.8</v>
      </c>
      <c r="D15" s="54">
        <v>0</v>
      </c>
      <c r="E15" s="54"/>
      <c r="F15" s="54">
        <v>3851</v>
      </c>
      <c r="G15" s="54">
        <v>0</v>
      </c>
      <c r="H15" s="54">
        <v>0</v>
      </c>
      <c r="I15" s="54">
        <v>6176.7</v>
      </c>
      <c r="J15" s="54">
        <v>5504.7</v>
      </c>
      <c r="K15" s="44"/>
      <c r="L15" s="38"/>
      <c r="M15" s="44"/>
      <c r="N15" s="38"/>
      <c r="O15" s="44"/>
      <c r="P15" s="38"/>
      <c r="Q15" s="44"/>
      <c r="R15" s="38"/>
      <c r="S15" s="44">
        <v>5761.4</v>
      </c>
      <c r="T15" s="38"/>
      <c r="U15" s="44"/>
      <c r="V15" s="38"/>
      <c r="W15" s="31">
        <f t="shared" si="5"/>
        <v>5761.4</v>
      </c>
      <c r="X15" s="34">
        <f t="shared" si="4"/>
        <v>25746.6</v>
      </c>
    </row>
    <row r="16" spans="1:24" ht="15" customHeight="1" thickBot="1">
      <c r="A16" s="21" t="s">
        <v>32</v>
      </c>
      <c r="B16" s="16" t="s">
        <v>56</v>
      </c>
      <c r="C16" s="54">
        <v>12948.95</v>
      </c>
      <c r="D16" s="54">
        <v>3078.68</v>
      </c>
      <c r="E16" s="54">
        <v>170.41</v>
      </c>
      <c r="F16" s="54">
        <v>4609.91</v>
      </c>
      <c r="G16" s="54">
        <v>1343.23</v>
      </c>
      <c r="H16" s="54">
        <v>2533.42</v>
      </c>
      <c r="I16" s="54">
        <v>16498.31</v>
      </c>
      <c r="J16" s="54">
        <v>1571.5</v>
      </c>
      <c r="K16" s="44"/>
      <c r="L16" s="38"/>
      <c r="M16" s="44"/>
      <c r="N16" s="38"/>
      <c r="O16" s="44"/>
      <c r="P16" s="38">
        <v>60</v>
      </c>
      <c r="Q16" s="44"/>
      <c r="R16" s="38"/>
      <c r="S16" s="44"/>
      <c r="T16" s="38">
        <v>495</v>
      </c>
      <c r="U16" s="44"/>
      <c r="V16" s="38"/>
      <c r="W16" s="31">
        <f t="shared" si="5"/>
        <v>555</v>
      </c>
      <c r="X16" s="34">
        <f t="shared" si="4"/>
        <v>43309.41</v>
      </c>
    </row>
    <row r="17" spans="1:24" ht="20.25" customHeight="1" thickBot="1">
      <c r="A17" s="21" t="s">
        <v>33</v>
      </c>
      <c r="B17" s="16" t="s">
        <v>48</v>
      </c>
      <c r="C17" s="54">
        <v>529.54</v>
      </c>
      <c r="D17" s="54">
        <v>0</v>
      </c>
      <c r="E17" s="54">
        <v>7.27</v>
      </c>
      <c r="F17" s="54">
        <v>0</v>
      </c>
      <c r="G17" s="54">
        <v>186</v>
      </c>
      <c r="H17" s="54">
        <v>50.9</v>
      </c>
      <c r="I17" s="54">
        <v>92</v>
      </c>
      <c r="J17" s="54">
        <v>35.47</v>
      </c>
      <c r="K17" s="44">
        <v>80</v>
      </c>
      <c r="L17" s="38"/>
      <c r="M17" s="44"/>
      <c r="N17" s="38"/>
      <c r="O17" s="44"/>
      <c r="P17" s="38"/>
      <c r="Q17" s="44"/>
      <c r="R17" s="38"/>
      <c r="S17" s="44"/>
      <c r="T17" s="38"/>
      <c r="U17" s="44"/>
      <c r="V17" s="38"/>
      <c r="W17" s="31">
        <f>SUM(K17:V17)</f>
        <v>80</v>
      </c>
      <c r="X17" s="34">
        <f t="shared" si="4"/>
        <v>981.18</v>
      </c>
    </row>
    <row r="18" spans="1:24" ht="15" customHeight="1" thickBot="1">
      <c r="A18" s="21" t="s">
        <v>34</v>
      </c>
      <c r="B18" s="16" t="s">
        <v>71</v>
      </c>
      <c r="C18" s="54">
        <v>664.63</v>
      </c>
      <c r="D18" s="54">
        <v>0</v>
      </c>
      <c r="E18" s="54"/>
      <c r="F18" s="54">
        <v>0</v>
      </c>
      <c r="G18" s="54">
        <v>0</v>
      </c>
      <c r="H18" s="54">
        <v>7535.8</v>
      </c>
      <c r="I18" s="54">
        <v>5659.83</v>
      </c>
      <c r="J18" s="54">
        <v>0</v>
      </c>
      <c r="K18" s="44"/>
      <c r="L18" s="38"/>
      <c r="M18" s="38"/>
      <c r="N18" s="38"/>
      <c r="O18" s="38"/>
      <c r="P18" s="38"/>
      <c r="Q18" s="44"/>
      <c r="R18" s="38"/>
      <c r="S18" s="44"/>
      <c r="T18" s="38"/>
      <c r="U18" s="44"/>
      <c r="V18" s="38"/>
      <c r="W18" s="31">
        <f t="shared" si="5"/>
        <v>0</v>
      </c>
      <c r="X18" s="34">
        <f t="shared" si="4"/>
        <v>13860.26</v>
      </c>
    </row>
    <row r="19" spans="1:24" ht="15" customHeight="1" thickBot="1">
      <c r="A19" s="21"/>
      <c r="B19" s="16" t="s">
        <v>72</v>
      </c>
      <c r="C19" s="54"/>
      <c r="D19" s="54"/>
      <c r="E19" s="54"/>
      <c r="F19" s="54"/>
      <c r="G19" s="54"/>
      <c r="H19" s="54">
        <v>586.55</v>
      </c>
      <c r="I19" s="54">
        <v>739.56</v>
      </c>
      <c r="J19" s="54">
        <v>748.6</v>
      </c>
      <c r="K19" s="44">
        <v>62.95</v>
      </c>
      <c r="L19" s="38">
        <v>62.95</v>
      </c>
      <c r="M19" s="38">
        <v>62.95</v>
      </c>
      <c r="N19" s="38">
        <v>62.95</v>
      </c>
      <c r="O19" s="38">
        <v>62.95</v>
      </c>
      <c r="P19" s="38">
        <v>62.95</v>
      </c>
      <c r="Q19" s="38">
        <v>65.51</v>
      </c>
      <c r="R19" s="38">
        <v>65.51</v>
      </c>
      <c r="S19" s="38">
        <v>65.51</v>
      </c>
      <c r="T19" s="38">
        <v>65.51</v>
      </c>
      <c r="U19" s="38">
        <v>65.51</v>
      </c>
      <c r="V19" s="38">
        <v>65.51</v>
      </c>
      <c r="W19" s="31">
        <f>SUM(K19:V19)</f>
        <v>770.76</v>
      </c>
      <c r="X19" s="34">
        <f>SUM(C19:V19)</f>
        <v>2845.4700000000003</v>
      </c>
    </row>
    <row r="20" spans="1:24" ht="15" customHeight="1" thickBot="1">
      <c r="A20" s="21"/>
      <c r="B20" s="16" t="s">
        <v>73</v>
      </c>
      <c r="C20" s="54"/>
      <c r="D20" s="54"/>
      <c r="E20" s="54"/>
      <c r="F20" s="54"/>
      <c r="G20" s="54"/>
      <c r="H20" s="54">
        <v>378.54</v>
      </c>
      <c r="I20" s="54">
        <v>653.88</v>
      </c>
      <c r="J20" s="54">
        <v>687.49</v>
      </c>
      <c r="K20" s="44">
        <v>60.89</v>
      </c>
      <c r="L20" s="38">
        <v>60.89</v>
      </c>
      <c r="M20" s="38">
        <v>60.89</v>
      </c>
      <c r="N20" s="38">
        <v>60.89</v>
      </c>
      <c r="O20" s="38">
        <v>60.89</v>
      </c>
      <c r="P20" s="38">
        <v>60.89</v>
      </c>
      <c r="Q20" s="38">
        <v>61.06</v>
      </c>
      <c r="R20" s="38">
        <v>61.06</v>
      </c>
      <c r="S20" s="38">
        <v>61.06</v>
      </c>
      <c r="T20" s="38">
        <v>61.06</v>
      </c>
      <c r="U20" s="38">
        <v>61.06</v>
      </c>
      <c r="V20" s="38">
        <v>61.06</v>
      </c>
      <c r="W20" s="31">
        <f>SUM(K20:V20)</f>
        <v>731.6999999999998</v>
      </c>
      <c r="X20" s="34">
        <f>SUM(C20:V20)</f>
        <v>2451.61</v>
      </c>
    </row>
    <row r="21" spans="1:24" ht="13.5" customHeight="1" thickBot="1">
      <c r="A21" s="21" t="s">
        <v>35</v>
      </c>
      <c r="B21" s="16" t="s">
        <v>5</v>
      </c>
      <c r="C21" s="54">
        <v>21.94</v>
      </c>
      <c r="D21" s="54">
        <v>0</v>
      </c>
      <c r="E21" s="54"/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44"/>
      <c r="L21" s="38"/>
      <c r="M21" s="44"/>
      <c r="N21" s="38"/>
      <c r="O21" s="44"/>
      <c r="P21" s="38"/>
      <c r="Q21" s="44"/>
      <c r="R21" s="38"/>
      <c r="S21" s="44"/>
      <c r="T21" s="38"/>
      <c r="U21" s="44"/>
      <c r="V21" s="38"/>
      <c r="W21" s="31">
        <f t="shared" si="5"/>
        <v>0</v>
      </c>
      <c r="X21" s="34">
        <f t="shared" si="4"/>
        <v>21.94</v>
      </c>
    </row>
    <row r="22" spans="1:24" ht="25.5" customHeight="1" thickBot="1">
      <c r="A22" s="21" t="s">
        <v>36</v>
      </c>
      <c r="B22" s="16" t="s">
        <v>74</v>
      </c>
      <c r="C22" s="54">
        <v>3447.6</v>
      </c>
      <c r="D22" s="54">
        <v>3880.12</v>
      </c>
      <c r="E22" s="54">
        <v>2296.05</v>
      </c>
      <c r="F22" s="54">
        <v>2708.04</v>
      </c>
      <c r="G22" s="54">
        <v>2861.53</v>
      </c>
      <c r="H22" s="54">
        <v>2901.64</v>
      </c>
      <c r="I22" s="54">
        <v>3049.21</v>
      </c>
      <c r="J22" s="54">
        <v>2468.36</v>
      </c>
      <c r="K22" s="44">
        <v>181.28</v>
      </c>
      <c r="L22" s="38">
        <v>162.5</v>
      </c>
      <c r="M22" s="44">
        <v>202.03</v>
      </c>
      <c r="N22" s="38">
        <v>157.94</v>
      </c>
      <c r="O22" s="44">
        <v>163.42</v>
      </c>
      <c r="P22" s="38">
        <v>164.95</v>
      </c>
      <c r="Q22" s="44">
        <v>190.78</v>
      </c>
      <c r="R22" s="38">
        <v>237.75</v>
      </c>
      <c r="S22" s="44">
        <v>228.14</v>
      </c>
      <c r="T22" s="38">
        <v>265.17</v>
      </c>
      <c r="U22" s="44">
        <v>246.62</v>
      </c>
      <c r="V22" s="38">
        <v>225.12</v>
      </c>
      <c r="W22" s="31">
        <f t="shared" si="5"/>
        <v>2425.7</v>
      </c>
      <c r="X22" s="34">
        <f t="shared" si="4"/>
        <v>26038.249999999993</v>
      </c>
    </row>
    <row r="23" spans="1:24" ht="24.75" customHeight="1" thickBot="1">
      <c r="A23" s="21" t="s">
        <v>37</v>
      </c>
      <c r="B23" s="16" t="s">
        <v>61</v>
      </c>
      <c r="C23" s="54">
        <v>446.65</v>
      </c>
      <c r="D23" s="54">
        <v>317.59</v>
      </c>
      <c r="E23" s="54">
        <v>690.69</v>
      </c>
      <c r="F23" s="54">
        <v>466.7</v>
      </c>
      <c r="G23" s="54">
        <v>406.9</v>
      </c>
      <c r="H23" s="54">
        <v>317.39</v>
      </c>
      <c r="I23" s="54">
        <v>307.59</v>
      </c>
      <c r="J23" s="54">
        <v>279.51</v>
      </c>
      <c r="K23" s="44">
        <v>10.41</v>
      </c>
      <c r="L23" s="38">
        <v>14.75</v>
      </c>
      <c r="M23" s="44">
        <v>14.13</v>
      </c>
      <c r="N23" s="38">
        <v>14.12</v>
      </c>
      <c r="O23" s="44">
        <v>13.77</v>
      </c>
      <c r="P23" s="38">
        <v>12.03</v>
      </c>
      <c r="Q23" s="44">
        <v>27.13</v>
      </c>
      <c r="R23" s="38">
        <v>14.08</v>
      </c>
      <c r="S23" s="44">
        <v>8.6</v>
      </c>
      <c r="T23" s="38">
        <v>25.97</v>
      </c>
      <c r="U23" s="44">
        <v>11.16</v>
      </c>
      <c r="V23" s="38">
        <v>30.41</v>
      </c>
      <c r="W23" s="31">
        <f t="shared" si="5"/>
        <v>196.55999999999997</v>
      </c>
      <c r="X23" s="34">
        <f t="shared" si="4"/>
        <v>3429.58</v>
      </c>
    </row>
    <row r="24" spans="1:24" ht="35.25" customHeight="1" thickBot="1">
      <c r="A24" s="21" t="s">
        <v>38</v>
      </c>
      <c r="B24" s="16" t="s">
        <v>62</v>
      </c>
      <c r="C24" s="54">
        <v>2321.64</v>
      </c>
      <c r="D24" s="54">
        <v>3115.4</v>
      </c>
      <c r="E24" s="54">
        <v>2678.28</v>
      </c>
      <c r="F24" s="54">
        <v>3415.51</v>
      </c>
      <c r="G24" s="54">
        <v>2977.16</v>
      </c>
      <c r="H24" s="54">
        <v>3130.31</v>
      </c>
      <c r="I24" s="54">
        <v>3429.08</v>
      </c>
      <c r="J24" s="54">
        <v>3728.54</v>
      </c>
      <c r="K24" s="44">
        <f>7.4+97.54+159.05</f>
        <v>263.99</v>
      </c>
      <c r="L24" s="38">
        <f>7.68+114.58+170.63</f>
        <v>292.89</v>
      </c>
      <c r="M24" s="44">
        <f>7.33+103.36+174.92</f>
        <v>285.61</v>
      </c>
      <c r="N24" s="38">
        <f>9.1+121.58+163.31</f>
        <v>293.99</v>
      </c>
      <c r="O24" s="44">
        <f>7.66+151.94+162.09</f>
        <v>321.69</v>
      </c>
      <c r="P24" s="38">
        <f>7.43+128.25+152.88</f>
        <v>288.56</v>
      </c>
      <c r="Q24" s="44">
        <f>8.04+104.67+155.1</f>
        <v>267.81</v>
      </c>
      <c r="R24" s="38">
        <f>150.52+105.55+7.6</f>
        <v>263.67</v>
      </c>
      <c r="S24" s="44">
        <f>136.05+232.43</f>
        <v>368.48</v>
      </c>
      <c r="T24" s="38">
        <f>8+227.2+226.2</f>
        <v>461.4</v>
      </c>
      <c r="U24" s="44">
        <f>8.8+182.46+217.46</f>
        <v>408.72</v>
      </c>
      <c r="V24" s="38">
        <f>9.93+253.51+199.8</f>
        <v>463.24</v>
      </c>
      <c r="W24" s="31">
        <f t="shared" si="5"/>
        <v>3980.05</v>
      </c>
      <c r="X24" s="34">
        <f t="shared" si="4"/>
        <v>28775.970000000005</v>
      </c>
    </row>
    <row r="25" spans="1:24" ht="15.75" customHeight="1" thickBot="1">
      <c r="A25" s="21" t="s">
        <v>50</v>
      </c>
      <c r="B25" s="16" t="s">
        <v>8</v>
      </c>
      <c r="C25" s="54">
        <v>29162.72</v>
      </c>
      <c r="D25" s="54">
        <v>30780.77</v>
      </c>
      <c r="E25" s="54">
        <v>31505.97</v>
      </c>
      <c r="F25" s="54">
        <v>35581.26</v>
      </c>
      <c r="G25" s="54">
        <v>33395.25</v>
      </c>
      <c r="H25" s="54">
        <v>36923.8</v>
      </c>
      <c r="I25" s="54">
        <v>38290.89</v>
      </c>
      <c r="J25" s="54">
        <v>38909.41</v>
      </c>
      <c r="K25" s="44">
        <f>7967.99-4227.15</f>
        <v>3740.84</v>
      </c>
      <c r="L25" s="38">
        <f>4194.41-785.4</f>
        <v>3409.0099999999998</v>
      </c>
      <c r="M25" s="44">
        <f>4279.66-802.6</f>
        <v>3477.06</v>
      </c>
      <c r="N25" s="38">
        <f>4123.69-734.59</f>
        <v>3389.0999999999995</v>
      </c>
      <c r="O25" s="44">
        <f>4418.26-962.01</f>
        <v>3456.25</v>
      </c>
      <c r="P25" s="38">
        <f>4263.52-795.39</f>
        <v>3468.1300000000006</v>
      </c>
      <c r="Q25" s="44">
        <f>4706.53-796.5</f>
        <v>3910.0299999999997</v>
      </c>
      <c r="R25" s="38">
        <f>4678.88-793.72</f>
        <v>3885.16</v>
      </c>
      <c r="S25" s="44">
        <f>14272.57-10297.6</f>
        <v>3974.9699999999993</v>
      </c>
      <c r="T25" s="38">
        <f>5764.08-1710.02</f>
        <v>4054.06</v>
      </c>
      <c r="U25" s="44">
        <f>5358.34-995.75</f>
        <v>4362.59</v>
      </c>
      <c r="V25" s="38">
        <f>5557.83-1067.34</f>
        <v>4490.49</v>
      </c>
      <c r="W25" s="31">
        <f t="shared" si="5"/>
        <v>45617.689999999995</v>
      </c>
      <c r="X25" s="34">
        <f t="shared" si="4"/>
        <v>320167.76000000007</v>
      </c>
    </row>
    <row r="26" spans="1:24" ht="13.5" customHeight="1" thickBot="1">
      <c r="A26" s="21" t="s">
        <v>51</v>
      </c>
      <c r="B26" s="17" t="s">
        <v>3</v>
      </c>
      <c r="C26" s="55">
        <v>2822.28</v>
      </c>
      <c r="D26" s="55">
        <v>2636.82</v>
      </c>
      <c r="E26" s="55">
        <v>2631.32</v>
      </c>
      <c r="F26" s="55">
        <v>2659.58</v>
      </c>
      <c r="G26" s="55">
        <v>2623.8</v>
      </c>
      <c r="H26" s="55">
        <v>2926.79</v>
      </c>
      <c r="I26" s="55">
        <v>2912.38</v>
      </c>
      <c r="J26" s="55">
        <v>2382.09</v>
      </c>
      <c r="K26" s="45">
        <f>5.16+362.47</f>
        <v>367.63000000000005</v>
      </c>
      <c r="L26" s="39">
        <f>2.62+183.13</f>
        <v>185.75</v>
      </c>
      <c r="M26" s="45">
        <f>2.41+167.98</f>
        <v>170.39</v>
      </c>
      <c r="N26" s="39">
        <f>1.94+135.36</f>
        <v>137.3</v>
      </c>
      <c r="O26" s="45">
        <f>4.63+322.82</f>
        <v>327.45</v>
      </c>
      <c r="P26" s="39">
        <f>1.94+135.35</f>
        <v>137.29</v>
      </c>
      <c r="Q26" s="45">
        <f>2.41+167.98</f>
        <v>170.39</v>
      </c>
      <c r="R26" s="40">
        <f>1.98+135.36</f>
        <v>137.34</v>
      </c>
      <c r="S26" s="45">
        <f>2.46+167.98</f>
        <v>170.44</v>
      </c>
      <c r="T26" s="39">
        <f>4.61+316.73</f>
        <v>321.34000000000003</v>
      </c>
      <c r="U26" s="45">
        <f>2.91+198.69</f>
        <v>201.6</v>
      </c>
      <c r="V26" s="39">
        <f>3.18+217.38</f>
        <v>220.56</v>
      </c>
      <c r="W26" s="31">
        <f t="shared" si="5"/>
        <v>2547.48</v>
      </c>
      <c r="X26" s="34">
        <f t="shared" si="4"/>
        <v>24142.54</v>
      </c>
    </row>
    <row r="27" spans="1:24" ht="13.5" customHeight="1" thickBot="1">
      <c r="A27" s="21"/>
      <c r="B27" s="23" t="s">
        <v>57</v>
      </c>
      <c r="C27" s="58"/>
      <c r="D27" s="58"/>
      <c r="E27" s="59">
        <f>E8*5%</f>
        <v>5246.652</v>
      </c>
      <c r="F27" s="59">
        <f>F8*5%</f>
        <v>5246.652</v>
      </c>
      <c r="G27" s="60">
        <f>G8*5%</f>
        <v>5243.548000000001</v>
      </c>
      <c r="H27" s="60">
        <f>H8*5%</f>
        <v>3489.846</v>
      </c>
      <c r="I27" s="60">
        <f>SUM(I8+I9+I10)*5%</f>
        <v>6265.558500000001</v>
      </c>
      <c r="J27" s="60">
        <f>SUM(J8+J9+J10)*5%</f>
        <v>5635.227000000001</v>
      </c>
      <c r="K27" s="73">
        <f>SUM(K8+K9+K10)*5%</f>
        <v>490.32950000000005</v>
      </c>
      <c r="L27" s="60">
        <f aca="true" t="shared" si="6" ref="L27:V27">SUM(L8+L9+L10)*5%</f>
        <v>490.32950000000005</v>
      </c>
      <c r="M27" s="59">
        <f t="shared" si="6"/>
        <v>490.32950000000005</v>
      </c>
      <c r="N27" s="59">
        <f t="shared" si="6"/>
        <v>490.32950000000005</v>
      </c>
      <c r="O27" s="59">
        <f t="shared" si="6"/>
        <v>490.32950000000005</v>
      </c>
      <c r="P27" s="59">
        <f t="shared" si="6"/>
        <v>490.32950000000005</v>
      </c>
      <c r="Q27" s="59">
        <f t="shared" si="6"/>
        <v>492.049</v>
      </c>
      <c r="R27" s="59">
        <f t="shared" si="6"/>
        <v>492.049</v>
      </c>
      <c r="S27" s="59">
        <f t="shared" si="6"/>
        <v>492.049</v>
      </c>
      <c r="T27" s="59">
        <f t="shared" si="6"/>
        <v>492.049</v>
      </c>
      <c r="U27" s="59">
        <f t="shared" si="6"/>
        <v>492.049</v>
      </c>
      <c r="V27" s="59">
        <f t="shared" si="6"/>
        <v>510.05850000000004</v>
      </c>
      <c r="W27" s="60">
        <f t="shared" si="5"/>
        <v>5912.2805</v>
      </c>
      <c r="X27" s="57"/>
    </row>
    <row r="28" spans="1:24" ht="16.5" customHeight="1" thickBot="1">
      <c r="A28" s="21" t="s">
        <v>39</v>
      </c>
      <c r="B28" s="35" t="s">
        <v>46</v>
      </c>
      <c r="C28" s="56"/>
      <c r="D28" s="56"/>
      <c r="E28" s="56"/>
      <c r="F28" s="56"/>
      <c r="G28" s="56"/>
      <c r="H28" s="63">
        <f aca="true" t="shared" si="7" ref="H28:V28">SUM(H8+H9+H10-H11)-H27</f>
        <v>57243.524</v>
      </c>
      <c r="I28" s="63">
        <f>SUM(I8+I9+I10-I11)-I27</f>
        <v>29812.771500000017</v>
      </c>
      <c r="J28" s="63">
        <f>SUM(J8+J9+J10-J11)-J27</f>
        <v>50066.67300000001</v>
      </c>
      <c r="K28" s="61">
        <f t="shared" si="7"/>
        <v>1348.2705000000003</v>
      </c>
      <c r="L28" s="60">
        <f t="shared" si="7"/>
        <v>5121.8505000000005</v>
      </c>
      <c r="M28" s="61">
        <f t="shared" si="7"/>
        <v>5036.6005</v>
      </c>
      <c r="N28" s="60">
        <f t="shared" si="7"/>
        <v>5192.570500000001</v>
      </c>
      <c r="O28" s="61">
        <f t="shared" si="7"/>
        <v>4898.0005</v>
      </c>
      <c r="P28" s="60">
        <f t="shared" si="7"/>
        <v>5052.7405</v>
      </c>
      <c r="Q28" s="61">
        <f t="shared" si="7"/>
        <v>4642.401</v>
      </c>
      <c r="R28" s="60">
        <f t="shared" si="7"/>
        <v>4670.0509999999995</v>
      </c>
      <c r="S28" s="61">
        <f t="shared" si="7"/>
        <v>-4923.638999999998</v>
      </c>
      <c r="T28" s="60">
        <f t="shared" si="7"/>
        <v>3584.8509999999997</v>
      </c>
      <c r="U28" s="61">
        <f t="shared" si="7"/>
        <v>3990.5909999999994</v>
      </c>
      <c r="V28" s="60">
        <f t="shared" si="7"/>
        <v>4133.2815</v>
      </c>
      <c r="W28" s="60">
        <f t="shared" si="5"/>
        <v>42747.5695</v>
      </c>
      <c r="X28" s="36"/>
    </row>
    <row r="29" spans="1:24" ht="23.25" customHeight="1" thickBot="1">
      <c r="A29" s="64" t="s">
        <v>40</v>
      </c>
      <c r="B29" s="77" t="s">
        <v>22</v>
      </c>
      <c r="C29" s="67">
        <f>SUM(C8-C11)</f>
        <v>33503.45</v>
      </c>
      <c r="D29" s="67">
        <f>SUM(D8-D11)</f>
        <v>47725.229999999996</v>
      </c>
      <c r="E29" s="71">
        <f>SUM(E8-E11)-E27</f>
        <v>43357.05799999999</v>
      </c>
      <c r="F29" s="71">
        <f>SUM(F8-F11)-F27</f>
        <v>31050.187999999995</v>
      </c>
      <c r="G29" s="71">
        <f>SUM(G8-G11)-G27</f>
        <v>46442.992000000006</v>
      </c>
      <c r="H29" s="71">
        <f>SUM(H8+H9+H10-H11)-H27</f>
        <v>57243.524</v>
      </c>
      <c r="I29" s="71">
        <f>SUM(I8+I9+I10-I11)-I27</f>
        <v>29812.771500000017</v>
      </c>
      <c r="J29" s="71">
        <f>SUM(J8+J9+J10-J11)-J27</f>
        <v>50066.67300000001</v>
      </c>
      <c r="K29" s="78">
        <f>SUM(K8+K9+K10-K11)-K27</f>
        <v>1348.2705000000003</v>
      </c>
      <c r="L29" s="71">
        <f>SUM(L28+K29)</f>
        <v>6470.121000000001</v>
      </c>
      <c r="M29" s="71">
        <f aca="true" t="shared" si="8" ref="M29:V29">SUM(M28+L29)</f>
        <v>11506.7215</v>
      </c>
      <c r="N29" s="71">
        <f t="shared" si="8"/>
        <v>16699.292</v>
      </c>
      <c r="O29" s="71">
        <f t="shared" si="8"/>
        <v>21597.292500000003</v>
      </c>
      <c r="P29" s="71">
        <f t="shared" si="8"/>
        <v>26650.033000000003</v>
      </c>
      <c r="Q29" s="71">
        <f t="shared" si="8"/>
        <v>31292.434</v>
      </c>
      <c r="R29" s="71">
        <f t="shared" si="8"/>
        <v>35962.485</v>
      </c>
      <c r="S29" s="71">
        <f t="shared" si="8"/>
        <v>31038.846</v>
      </c>
      <c r="T29" s="71">
        <f t="shared" si="8"/>
        <v>34623.697</v>
      </c>
      <c r="U29" s="71">
        <f t="shared" si="8"/>
        <v>38614.288</v>
      </c>
      <c r="V29" s="71">
        <f t="shared" si="8"/>
        <v>42747.5695</v>
      </c>
      <c r="W29" s="67"/>
      <c r="X29" s="72"/>
    </row>
    <row r="30" spans="1:24" ht="21" customHeight="1" hidden="1" thickBot="1">
      <c r="A30" s="21" t="s">
        <v>41</v>
      </c>
      <c r="B30" s="23" t="s">
        <v>23</v>
      </c>
      <c r="C30" s="31">
        <f>SUM(C8-C11,A30)</f>
        <v>33503.45</v>
      </c>
      <c r="D30" s="31">
        <f>SUM(D8-D11,C30)</f>
        <v>81228.68</v>
      </c>
      <c r="E30" s="59">
        <f aca="true" t="shared" si="9" ref="E30:K30">SUM(E29+D30)</f>
        <v>124585.73799999998</v>
      </c>
      <c r="F30" s="59">
        <f t="shared" si="9"/>
        <v>155635.92599999998</v>
      </c>
      <c r="G30" s="59">
        <f t="shared" si="9"/>
        <v>202078.91799999998</v>
      </c>
      <c r="H30" s="59">
        <f t="shared" si="9"/>
        <v>259322.44199999998</v>
      </c>
      <c r="I30" s="59">
        <f t="shared" si="9"/>
        <v>289135.2135</v>
      </c>
      <c r="J30" s="59">
        <f>SUM(J29+I30)-144118.4</f>
        <v>195083.48650000003</v>
      </c>
      <c r="K30" s="59">
        <f t="shared" si="9"/>
        <v>196431.75700000004</v>
      </c>
      <c r="L30" s="60">
        <f>SUM(L28+K30)</f>
        <v>201553.60750000004</v>
      </c>
      <c r="M30" s="60">
        <f aca="true" t="shared" si="10" ref="M30:U30">SUM(M28+L30)</f>
        <v>206590.20800000004</v>
      </c>
      <c r="N30" s="60">
        <f t="shared" si="10"/>
        <v>211782.77850000004</v>
      </c>
      <c r="O30" s="60">
        <f t="shared" si="10"/>
        <v>216680.77900000004</v>
      </c>
      <c r="P30" s="60">
        <f t="shared" si="10"/>
        <v>221733.51950000005</v>
      </c>
      <c r="Q30" s="60">
        <f t="shared" si="10"/>
        <v>226375.92050000007</v>
      </c>
      <c r="R30" s="60">
        <f>SUM(R28+Q30)</f>
        <v>231045.97150000007</v>
      </c>
      <c r="S30" s="60">
        <f t="shared" si="10"/>
        <v>226122.33250000008</v>
      </c>
      <c r="T30" s="60">
        <f t="shared" si="10"/>
        <v>229707.18350000007</v>
      </c>
      <c r="U30" s="60">
        <f t="shared" si="10"/>
        <v>233697.77450000006</v>
      </c>
      <c r="V30" s="60">
        <f>SUM(V28+U30)</f>
        <v>237831.05600000007</v>
      </c>
      <c r="W30" s="31"/>
      <c r="X30" s="25"/>
    </row>
    <row r="31" spans="1:24" ht="9" customHeight="1" hidden="1" thickBot="1">
      <c r="A31" s="21" t="s">
        <v>41</v>
      </c>
      <c r="B31" s="23" t="s">
        <v>7</v>
      </c>
      <c r="C31" s="48"/>
      <c r="D31" s="48"/>
      <c r="E31" s="48"/>
      <c r="F31" s="48"/>
      <c r="G31" s="48"/>
      <c r="H31" s="48"/>
      <c r="I31" s="48"/>
      <c r="J31" s="48"/>
      <c r="K31" s="41"/>
      <c r="L31" s="40"/>
      <c r="M31" s="46"/>
      <c r="N31" s="40"/>
      <c r="O31" s="46"/>
      <c r="P31" s="40"/>
      <c r="Q31" s="46"/>
      <c r="R31" s="40"/>
      <c r="S31" s="46"/>
      <c r="T31" s="40"/>
      <c r="U31" s="5"/>
      <c r="V31" s="6"/>
      <c r="W31" s="32"/>
      <c r="X31" s="26"/>
    </row>
    <row r="32" spans="1:24" ht="15" customHeight="1" hidden="1" thickBot="1">
      <c r="A32" s="21" t="s">
        <v>42</v>
      </c>
      <c r="B32" s="18" t="s">
        <v>24</v>
      </c>
      <c r="C32" s="49"/>
      <c r="D32" s="49"/>
      <c r="E32" s="49"/>
      <c r="F32" s="49"/>
      <c r="G32" s="49"/>
      <c r="H32" s="49"/>
      <c r="I32" s="49"/>
      <c r="J32" s="49"/>
      <c r="K32" s="41"/>
      <c r="L32" s="40"/>
      <c r="M32" s="46"/>
      <c r="N32" s="40"/>
      <c r="O32" s="46"/>
      <c r="P32" s="40"/>
      <c r="Q32" s="46"/>
      <c r="R32" s="40"/>
      <c r="S32" s="46"/>
      <c r="T32" s="40"/>
      <c r="U32" s="5"/>
      <c r="V32" s="6"/>
      <c r="W32" s="31"/>
      <c r="X32" s="27"/>
    </row>
    <row r="33" spans="1:24" ht="24" customHeight="1" hidden="1" thickBot="1">
      <c r="A33" s="22" t="s">
        <v>43</v>
      </c>
      <c r="B33" s="19" t="s">
        <v>45</v>
      </c>
      <c r="C33" s="50"/>
      <c r="D33" s="50"/>
      <c r="E33" s="50"/>
      <c r="F33" s="50"/>
      <c r="G33" s="50"/>
      <c r="H33" s="50"/>
      <c r="I33" s="50"/>
      <c r="J33" s="50"/>
      <c r="K33" s="42"/>
      <c r="L33" s="33"/>
      <c r="M33" s="10"/>
      <c r="N33" s="33"/>
      <c r="O33" s="10"/>
      <c r="P33" s="33"/>
      <c r="Q33" s="10"/>
      <c r="R33" s="33"/>
      <c r="S33" s="10"/>
      <c r="T33" s="33"/>
      <c r="U33" s="9"/>
      <c r="V33" s="10">
        <f>SUM(V29-V31)</f>
        <v>42747.5695</v>
      </c>
      <c r="W33" s="33"/>
      <c r="X33" s="28"/>
    </row>
    <row r="34" spans="1:24" ht="24" customHeight="1" hidden="1" thickBot="1">
      <c r="A34" s="22" t="s">
        <v>44</v>
      </c>
      <c r="B34" s="19" t="s">
        <v>25</v>
      </c>
      <c r="C34" s="50"/>
      <c r="D34" s="50"/>
      <c r="E34" s="50"/>
      <c r="F34" s="50"/>
      <c r="G34" s="50"/>
      <c r="H34" s="50"/>
      <c r="I34" s="50"/>
      <c r="J34" s="50"/>
      <c r="K34" s="42"/>
      <c r="L34" s="33"/>
      <c r="M34" s="10"/>
      <c r="N34" s="33"/>
      <c r="O34" s="10"/>
      <c r="P34" s="33"/>
      <c r="Q34" s="10"/>
      <c r="R34" s="33"/>
      <c r="S34" s="10"/>
      <c r="T34" s="33"/>
      <c r="U34" s="9"/>
      <c r="V34" s="10">
        <f>SUM(V30-V31)</f>
        <v>237831.05600000007</v>
      </c>
      <c r="W34" s="33"/>
      <c r="X34" s="28"/>
    </row>
    <row r="35" spans="11:24" ht="0.75" customHeight="1" hidden="1"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</row>
    <row r="36" ht="12" customHeight="1" hidden="1"/>
    <row r="37" ht="12.75" hidden="1"/>
    <row r="38" ht="12.75" hidden="1"/>
    <row r="39" ht="12.75" hidden="1"/>
    <row r="40" ht="12.75">
      <c r="B40" t="s">
        <v>63</v>
      </c>
    </row>
    <row r="44" ht="12.75" customHeight="1"/>
    <row r="45" ht="12.75" customHeight="1"/>
  </sheetData>
  <sheetProtection/>
  <mergeCells count="5">
    <mergeCell ref="B4:X4"/>
    <mergeCell ref="B5:X5"/>
    <mergeCell ref="B3:X3"/>
    <mergeCell ref="B1:M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2021-02-05T06:57:40Z</cp:lastPrinted>
  <dcterms:created xsi:type="dcterms:W3CDTF">2011-06-16T11:06:26Z</dcterms:created>
  <dcterms:modified xsi:type="dcterms:W3CDTF">2021-03-01T11:43:14Z</dcterms:modified>
  <cp:category/>
  <cp:version/>
  <cp:contentType/>
  <cp:contentStatus/>
</cp:coreProperties>
</file>