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<sst xmlns="http://schemas.openxmlformats.org/spreadsheetml/2006/main" count="81" uniqueCount="81">
  <si>
    <t>СПРАВКА</t>
  </si>
  <si>
    <t xml:space="preserve">Начислено  </t>
  </si>
  <si>
    <t>Расходы</t>
  </si>
  <si>
    <t>Услуги РИРЦ</t>
  </si>
  <si>
    <t>Тех.обслуж.газового обор.</t>
  </si>
  <si>
    <t>Дератизация, дезинфекция</t>
  </si>
  <si>
    <t>Наименование</t>
  </si>
  <si>
    <t>Задолженность по неплательщикам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</si>
  <si>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</si>
  <si>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</si>
  <si>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</si>
  <si>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</si>
  <si>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</si>
  <si>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</si>
  <si>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</si>
  <si>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</si>
  <si>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</si>
  <si>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</si>
  <si>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</si>
  <si>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</si>
  <si>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</si>
  <si>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</si>
  <si>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</si>
  <si>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</si>
  <si>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</si>
  <si>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</si>
  <si>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</si>
  <si>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</si>
  <si>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</si>
  <si>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</si>
  <si>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</si>
  <si>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</si>
  <si>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</si>
  <si>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</si>
  <si>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</si>
  <si>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</si>
  <si>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</si>
  <si>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</si>
  <si>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</si>
  <si>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</t>
  </si>
  <si>
    <t>6</t>
  </si>
  <si>
    <t>7</t>
  </si>
  <si>
    <t>8</t>
  </si>
  <si>
    <t>9</t>
  </si>
  <si>
    <t>за 2010 г</t>
  </si>
  <si>
    <t>10</t>
  </si>
  <si>
    <t>Финансовый результат по дому с начала года</t>
  </si>
  <si>
    <t>по жилому дому г. Унеча ул. Первомайская  д.18</t>
  </si>
  <si>
    <t>11</t>
  </si>
  <si>
    <t>Благоустройство  территории</t>
  </si>
  <si>
    <t>Итого за 2011 г</t>
  </si>
  <si>
    <t>Результат за месяц</t>
  </si>
  <si>
    <t>Итого за 2012 г</t>
  </si>
  <si>
    <t>4.12</t>
  </si>
  <si>
    <t>4.13</t>
  </si>
  <si>
    <t xml:space="preserve">Материалы </t>
  </si>
  <si>
    <t>Итого за 2013 г</t>
  </si>
  <si>
    <t>Итого за 2014 г</t>
  </si>
  <si>
    <t>рентабельность 5%</t>
  </si>
  <si>
    <t>Итого за 2015 г</t>
  </si>
  <si>
    <t>Услуги сторонних орган.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</si>
  <si>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</si>
  <si>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</si>
  <si>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Исполнитель  вед. экономист /Викторова Л.С./</t>
  </si>
  <si>
    <t>Итого за 2016 г</t>
  </si>
  <si>
    <t>Проверка вент.каналов</t>
  </si>
  <si>
    <t>Итого за 2017 г</t>
  </si>
  <si>
    <t>Начислено  СОИД</t>
  </si>
  <si>
    <t>Электроэнергия СОИД</t>
  </si>
  <si>
    <t>Горячая вода СОИД</t>
  </si>
  <si>
    <t>Холодная вода СОИД</t>
  </si>
  <si>
    <t>Канализация СОИД</t>
  </si>
  <si>
    <t>Транспортные(ГСМ,зап.части,амортизация,страхован)</t>
  </si>
  <si>
    <t>Итого за 2018 г</t>
  </si>
  <si>
    <t>Итого за 2019 г</t>
  </si>
  <si>
    <t>Дом по ул.Первомайская д.18 вступил в ООО "Наш дом" с февраля 2010  года     тариф 10,35 руб с января 2019 года тариф 9,6 руб.</t>
  </si>
  <si>
    <t>ООО "НД УНЕЧА"</t>
  </si>
  <si>
    <t>Итого за 2020 г</t>
  </si>
  <si>
    <t>Всего за 2010-2020</t>
  </si>
  <si>
    <t>Прочие доходы</t>
  </si>
  <si>
    <t>Утилизация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</si>
</sst>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sz val="9"/>
      <color indexed="10"/>
      <name val="Arial Cyr"/>
      <family val="0"/>
    </font>
    <font>
      <b/>
      <sz val="8"/>
      <name val="Arial Cyr"/>
      <family val="0"/>
    </font>
    <font>
      <b/>
      <sz val="9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5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6" xfId="0" applyFont="1" applyBorder="1" applyAlignment="1">
      <alignment horizontal="left" vertical="center" wrapText="1"/>
    </xf>
    <xf numFmtId="0" fontId="24" fillId="0" borderId="27" xfId="0" applyFont="1" applyBorder="1" applyAlignment="1">
      <alignment wrapText="1"/>
    </xf>
    <xf numFmtId="0" fontId="21" fillId="0" borderId="28" xfId="0" applyFont="1" applyBorder="1" applyAlignment="1">
      <alignment horizontal="left" wrapText="1"/>
    </xf>
    <xf numFmtId="49" fontId="21" fillId="0" borderId="27" xfId="0" applyNumberFormat="1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2" borderId="30" xfId="0" applyFont="1" applyFill="1" applyBorder="1" applyAlignment="1">
      <alignment wrapText="1"/>
    </xf>
    <xf numFmtId="49" fontId="0" fillId="0" borderId="31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0" fontId="23" fillId="0" borderId="34" xfId="0" applyFont="1" applyBorder="1" applyAlignment="1">
      <alignment horizontal="left" vertical="center" wrapText="1"/>
    </xf>
    <xf numFmtId="0" fontId="21" fillId="0" borderId="34" xfId="0" applyFont="1" applyBorder="1" applyAlignment="1">
      <alignment wrapText="1"/>
    </xf>
    <xf numFmtId="0" fontId="21" fillId="0" borderId="35" xfId="0" applyFont="1" applyBorder="1" applyAlignment="1">
      <alignment wrapText="1"/>
    </xf>
    <xf numFmtId="0" fontId="21" fillId="2" borderId="35" xfId="0" applyFont="1" applyFill="1" applyBorder="1" applyAlignment="1">
      <alignment wrapText="1"/>
    </xf>
    <xf numFmtId="2" fontId="21" fillId="0" borderId="36" xfId="0" applyNumberFormat="1" applyFont="1" applyBorder="1" applyAlignment="1">
      <alignment horizontal="right" wrapText="1"/>
    </xf>
    <xf numFmtId="2" fontId="21" fillId="0" borderId="32" xfId="0" applyNumberFormat="1" applyFont="1" applyBorder="1" applyAlignment="1">
      <alignment horizontal="right" wrapText="1"/>
    </xf>
    <xf numFmtId="2" fontId="21" fillId="0" borderId="33" xfId="0" applyNumberFormat="1" applyFont="1" applyBorder="1" applyAlignment="1">
      <alignment horizontal="right" wrapText="1"/>
    </xf>
    <xf numFmtId="0" fontId="21" fillId="0" borderId="26" xfId="0" applyFont="1" applyBorder="1" applyAlignment="1">
      <alignment wrapText="1"/>
    </xf>
    <xf numFmtId="49" fontId="0" fillId="0" borderId="35" xfId="0" applyNumberFormat="1" applyBorder="1" applyAlignment="1">
      <alignment horizontal="center"/>
    </xf>
    <xf numFmtId="0" fontId="23" fillId="0" borderId="26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37" xfId="0" applyBorder="1" applyAlignment="1">
      <alignment/>
    </xf>
    <xf numFmtId="0" fontId="0" fillId="0" borderId="26" xfId="0" applyBorder="1" applyAlignment="1">
      <alignment/>
    </xf>
    <xf numFmtId="0" fontId="0" fillId="2" borderId="26" xfId="0" applyFill="1" applyBorder="1" applyAlignment="1">
      <alignment/>
    </xf>
    <xf numFmtId="0" fontId="19" fillId="0" borderId="34" xfId="0" applyFont="1" applyBorder="1" applyAlignment="1">
      <alignment horizontal="center" vertical="center" wrapText="1"/>
    </xf>
    <xf numFmtId="0" fontId="21" fillId="0" borderId="34" xfId="0" applyFont="1" applyBorder="1" applyAlignment="1">
      <alignment/>
    </xf>
    <xf numFmtId="0" fontId="21" fillId="0" borderId="35" xfId="0" applyFont="1" applyBorder="1" applyAlignment="1">
      <alignment/>
    </xf>
    <xf numFmtId="0" fontId="20" fillId="2" borderId="35" xfId="0" applyFont="1" applyFill="1" applyBorder="1" applyAlignment="1">
      <alignment/>
    </xf>
    <xf numFmtId="0" fontId="21" fillId="0" borderId="37" xfId="0" applyFont="1" applyBorder="1" applyAlignment="1">
      <alignment wrapText="1"/>
    </xf>
    <xf numFmtId="2" fontId="21" fillId="0" borderId="38" xfId="0" applyNumberFormat="1" applyFont="1" applyBorder="1" applyAlignment="1">
      <alignment horizontal="right" wrapText="1"/>
    </xf>
    <xf numFmtId="0" fontId="26" fillId="0" borderId="31" xfId="0" applyFont="1" applyBorder="1" applyAlignment="1">
      <alignment wrapText="1"/>
    </xf>
    <xf numFmtId="0" fontId="26" fillId="0" borderId="36" xfId="0" applyFont="1" applyBorder="1" applyAlignment="1">
      <alignment wrapText="1"/>
    </xf>
    <xf numFmtId="2" fontId="21" fillId="0" borderId="34" xfId="0" applyNumberFormat="1" applyFont="1" applyBorder="1" applyAlignment="1">
      <alignment/>
    </xf>
    <xf numFmtId="2" fontId="20" fillId="0" borderId="39" xfId="0" applyNumberFormat="1" applyFont="1" applyBorder="1" applyAlignment="1">
      <alignment/>
    </xf>
    <xf numFmtId="0" fontId="21" fillId="0" borderId="25" xfId="0" applyFont="1" applyBorder="1" applyAlignment="1">
      <alignment wrapText="1"/>
    </xf>
    <xf numFmtId="0" fontId="21" fillId="2" borderId="25" xfId="0" applyFont="1" applyFill="1" applyBorder="1" applyAlignment="1">
      <alignment wrapText="1"/>
    </xf>
    <xf numFmtId="0" fontId="19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wrapText="1"/>
    </xf>
    <xf numFmtId="2" fontId="21" fillId="0" borderId="41" xfId="0" applyNumberFormat="1" applyFont="1" applyBorder="1" applyAlignment="1">
      <alignment horizontal="right" wrapText="1"/>
    </xf>
    <xf numFmtId="2" fontId="21" fillId="0" borderId="42" xfId="0" applyNumberFormat="1" applyFont="1" applyBorder="1" applyAlignment="1">
      <alignment horizontal="right" wrapText="1"/>
    </xf>
    <xf numFmtId="2" fontId="21" fillId="0" borderId="43" xfId="0" applyNumberFormat="1" applyFont="1" applyBorder="1" applyAlignment="1">
      <alignment horizontal="right" wrapText="1"/>
    </xf>
    <xf numFmtId="2" fontId="21" fillId="0" borderId="44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2" fontId="21" fillId="0" borderId="40" xfId="0" applyNumberFormat="1" applyFont="1" applyBorder="1" applyAlignment="1">
      <alignment horizontal="right" wrapText="1"/>
    </xf>
    <xf numFmtId="2" fontId="21" fillId="0" borderId="45" xfId="0" applyNumberFormat="1" applyFont="1" applyBorder="1" applyAlignment="1">
      <alignment/>
    </xf>
    <xf numFmtId="2" fontId="21" fillId="0" borderId="46" xfId="0" applyNumberFormat="1" applyFont="1" applyBorder="1" applyAlignment="1">
      <alignment/>
    </xf>
    <xf numFmtId="0" fontId="27" fillId="0" borderId="31" xfId="0" applyFont="1" applyBorder="1" applyAlignment="1">
      <alignment/>
    </xf>
    <xf numFmtId="2" fontId="27" fillId="0" borderId="34" xfId="0" applyNumberFormat="1" applyFont="1" applyBorder="1" applyAlignment="1">
      <alignment/>
    </xf>
    <xf numFmtId="2" fontId="27" fillId="0" borderId="39" xfId="0" applyNumberFormat="1" applyFont="1" applyBorder="1" applyAlignment="1">
      <alignment/>
    </xf>
    <xf numFmtId="49" fontId="0" fillId="0" borderId="47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0" fontId="21" fillId="0" borderId="25" xfId="0" applyFont="1" applyBorder="1" applyAlignment="1">
      <alignment/>
    </xf>
    <xf numFmtId="2" fontId="21" fillId="0" borderId="30" xfId="0" applyNumberFormat="1" applyFont="1" applyBorder="1" applyAlignment="1">
      <alignment/>
    </xf>
    <xf numFmtId="2" fontId="21" fillId="0" borderId="19" xfId="0" applyNumberFormat="1" applyFont="1" applyBorder="1" applyAlignment="1">
      <alignment/>
    </xf>
    <xf numFmtId="0" fontId="21" fillId="0" borderId="36" xfId="0" applyFont="1" applyBorder="1" applyAlignment="1">
      <alignment/>
    </xf>
    <xf numFmtId="2" fontId="21" fillId="0" borderId="48" xfId="0" applyNumberFormat="1" applyFont="1" applyBorder="1" applyAlignment="1">
      <alignment/>
    </xf>
    <xf numFmtId="2" fontId="21" fillId="0" borderId="38" xfId="0" applyNumberFormat="1" applyFont="1" applyBorder="1" applyAlignment="1">
      <alignment/>
    </xf>
    <xf numFmtId="49" fontId="22" fillId="0" borderId="32" xfId="0" applyNumberFormat="1" applyFont="1" applyBorder="1" applyAlignment="1">
      <alignment horizontal="center"/>
    </xf>
    <xf numFmtId="0" fontId="19" fillId="0" borderId="26" xfId="0" applyFont="1" applyBorder="1" applyAlignment="1">
      <alignment wrapText="1"/>
    </xf>
    <xf numFmtId="0" fontId="28" fillId="0" borderId="34" xfId="0" applyFont="1" applyBorder="1" applyAlignment="1">
      <alignment/>
    </xf>
    <xf numFmtId="0" fontId="28" fillId="0" borderId="49" xfId="0" applyFont="1" applyBorder="1" applyAlignment="1">
      <alignment/>
    </xf>
    <xf numFmtId="0" fontId="28" fillId="0" borderId="11" xfId="0" applyFont="1" applyBorder="1" applyAlignment="1">
      <alignment/>
    </xf>
    <xf numFmtId="2" fontId="28" fillId="0" borderId="34" xfId="0" applyNumberFormat="1" applyFont="1" applyBorder="1" applyAlignment="1">
      <alignment/>
    </xf>
    <xf numFmtId="2" fontId="29" fillId="0" borderId="34" xfId="0" applyNumberFormat="1" applyFont="1" applyBorder="1" applyAlignment="1">
      <alignment/>
    </xf>
    <xf numFmtId="0" fontId="22" fillId="0" borderId="0" xfId="0" applyFont="1" applyAlignment="1">
      <alignment/>
    </xf>
    <xf numFmtId="49" fontId="22" fillId="0" borderId="34" xfId="0" applyNumberFormat="1" applyFont="1" applyBorder="1" applyAlignment="1">
      <alignment horizontal="center"/>
    </xf>
    <xf numFmtId="0" fontId="28" fillId="0" borderId="26" xfId="0" applyFont="1" applyBorder="1" applyAlignment="1">
      <alignment wrapText="1"/>
    </xf>
    <xf numFmtId="0" fontId="28" fillId="0" borderId="34" xfId="0" applyFont="1" applyBorder="1" applyAlignment="1">
      <alignment wrapText="1"/>
    </xf>
    <xf numFmtId="2" fontId="28" fillId="0" borderId="11" xfId="0" applyNumberFormat="1" applyFont="1" applyBorder="1" applyAlignment="1">
      <alignment/>
    </xf>
    <xf numFmtId="2" fontId="28" fillId="0" borderId="10" xfId="0" applyNumberFormat="1" applyFont="1" applyBorder="1" applyAlignment="1">
      <alignment/>
    </xf>
    <xf numFmtId="0" fontId="22" fillId="0" borderId="34" xfId="0" applyFont="1" applyBorder="1" applyAlignment="1">
      <alignment/>
    </xf>
    <xf numFmtId="0" fontId="24" fillId="0" borderId="37" xfId="0" applyFont="1" applyBorder="1" applyAlignment="1">
      <alignment wrapText="1"/>
    </xf>
    <xf numFmtId="0" fontId="26" fillId="0" borderId="38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1" fillId="0" borderId="45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1"/>
  <sheetViews>
    <sheetView tabSelected="1" zoomScalePageLayoutView="0" workbookViewId="0" topLeftCell="A7">
      <selection activeCell="B13" sqref="B13"/>
    </sheetView>
  </sheetViews>
  <sheetFormatPr defaultColWidth="9.00390625" defaultRowHeight="12.75"/>
  <cols>
    <col min="1" max="1" width="3.125" style="25" customWidth="1"/>
    <col min="2" max="2" width="22.00390625" style="0" customWidth="1"/>
    <col min="3" max="3" width="7.25390625" style="0" hidden="1" customWidth="1"/>
    <col min="4" max="4" width="7.875" style="0" hidden="1" customWidth="1"/>
    <col min="5" max="5" width="9.125" style="0" hidden="1" customWidth="1"/>
    <col min="6" max="6" width="9.625" style="0" hidden="1" customWidth="1"/>
    <col min="7" max="7" width="8.875" style="0" hidden="1" customWidth="1"/>
    <col min="8" max="8" width="8.625" style="0" hidden="1" customWidth="1"/>
    <col min="9" max="9" width="8.125" style="0" hidden="1" customWidth="1"/>
    <col min="10" max="10" width="8.75390625" style="0" hidden="1" customWidth="1"/>
    <col min="11" max="11" width="7.875" style="0" hidden="1" customWidth="1"/>
    <col min="12" max="12" width="9.125" style="0" hidden="1" customWidth="1"/>
    <col min="13" max="13" width="8.875" style="0" customWidth="1"/>
    <col min="14" max="14" width="8.00390625" style="0" customWidth="1"/>
    <col min="15" max="16" width="8.125" style="0" customWidth="1"/>
    <col min="17" max="17" width="8.625" style="0" customWidth="1"/>
    <col min="18" max="18" width="8.00390625" style="0" customWidth="1"/>
    <col min="19" max="19" width="8.25390625" style="0" customWidth="1"/>
    <col min="20" max="20" width="8.375" style="0" customWidth="1"/>
    <col min="21" max="21" width="8.875" style="0" customWidth="1"/>
    <col min="22" max="22" width="8.25390625" style="0" customWidth="1"/>
    <col min="23" max="23" width="8.00390625" style="0" customWidth="1"/>
    <col min="24" max="24" width="8.875" style="0" customWidth="1"/>
    <col min="25" max="25" width="9.375" style="0" customWidth="1"/>
    <col min="26" max="26" width="10.25390625" style="0" hidden="1" customWidth="1"/>
  </cols>
  <sheetData>
    <row r="1" spans="2:31" ht="12.75" customHeight="1">
      <c r="B1" s="104" t="s">
        <v>76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2:31" ht="12.75" customHeight="1">
      <c r="B2" s="104" t="s">
        <v>75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5"/>
      <c r="X2" s="105"/>
      <c r="Y2" s="105"/>
      <c r="Z2" s="105"/>
      <c r="AA2" s="4"/>
      <c r="AB2" s="4"/>
      <c r="AC2" s="4"/>
      <c r="AD2" s="4"/>
      <c r="AE2" s="4"/>
    </row>
    <row r="3" spans="2:31" ht="12.75" customHeight="1">
      <c r="B3" s="103" t="s">
        <v>0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3"/>
      <c r="AB3" s="3"/>
      <c r="AC3" s="3"/>
      <c r="AD3" s="3"/>
      <c r="AE3" s="3"/>
    </row>
    <row r="4" spans="2:31" ht="14.25" customHeight="1">
      <c r="B4" s="102" t="s">
        <v>9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2"/>
      <c r="AB4" s="2"/>
      <c r="AC4" s="2"/>
      <c r="AD4" s="2"/>
      <c r="AE4" s="2"/>
    </row>
    <row r="5" spans="2:31" ht="15.75" customHeight="1" thickBot="1">
      <c r="B5" s="102" t="s">
        <v>47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2"/>
      <c r="AB5" s="2"/>
      <c r="AC5" s="2"/>
      <c r="AD5" s="2"/>
      <c r="AE5" s="2"/>
    </row>
    <row r="6" spans="2:31" ht="16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2"/>
      <c r="AB6" s="2"/>
      <c r="AC6" s="2"/>
      <c r="AD6" s="2"/>
      <c r="AE6" s="2"/>
    </row>
    <row r="7" spans="1:31" ht="33.75" customHeight="1" thickBot="1">
      <c r="A7" s="34" t="s">
        <v>26</v>
      </c>
      <c r="B7" s="26" t="s">
        <v>6</v>
      </c>
      <c r="C7" s="37" t="s">
        <v>44</v>
      </c>
      <c r="D7" s="63" t="s">
        <v>50</v>
      </c>
      <c r="E7" s="51" t="s">
        <v>52</v>
      </c>
      <c r="F7" s="51" t="s">
        <v>56</v>
      </c>
      <c r="G7" s="51" t="s">
        <v>57</v>
      </c>
      <c r="H7" s="51" t="s">
        <v>59</v>
      </c>
      <c r="I7" s="51" t="s">
        <v>64</v>
      </c>
      <c r="J7" s="51" t="s">
        <v>66</v>
      </c>
      <c r="K7" s="51" t="s">
        <v>73</v>
      </c>
      <c r="L7" s="51" t="s">
        <v>74</v>
      </c>
      <c r="M7" s="6" t="s">
        <v>10</v>
      </c>
      <c r="N7" s="5" t="s">
        <v>11</v>
      </c>
      <c r="O7" s="5" t="s">
        <v>12</v>
      </c>
      <c r="P7" s="5" t="s">
        <v>13</v>
      </c>
      <c r="Q7" s="5" t="s">
        <v>14</v>
      </c>
      <c r="R7" s="5" t="s">
        <v>15</v>
      </c>
      <c r="S7" s="5" t="s">
        <v>16</v>
      </c>
      <c r="T7" s="5" t="s">
        <v>17</v>
      </c>
      <c r="U7" s="5" t="s">
        <v>18</v>
      </c>
      <c r="V7" s="5" t="s">
        <v>19</v>
      </c>
      <c r="W7" s="5" t="s">
        <v>21</v>
      </c>
      <c r="X7" s="15" t="s">
        <v>20</v>
      </c>
      <c r="Y7" s="51" t="s">
        <v>77</v>
      </c>
      <c r="Z7" s="46" t="s">
        <v>78</v>
      </c>
      <c r="AA7" s="1"/>
      <c r="AB7" s="1"/>
      <c r="AC7" s="1"/>
      <c r="AD7" s="1"/>
      <c r="AE7" s="1"/>
    </row>
    <row r="8" spans="1:26" ht="13.5" thickBot="1">
      <c r="A8" s="35" t="s">
        <v>27</v>
      </c>
      <c r="B8" s="27" t="s">
        <v>1</v>
      </c>
      <c r="C8" s="57">
        <v>133606.54</v>
      </c>
      <c r="D8" s="64">
        <v>159961.41</v>
      </c>
      <c r="E8" s="58">
        <v>168241.45</v>
      </c>
      <c r="F8" s="57">
        <v>172588.32</v>
      </c>
      <c r="G8" s="58">
        <v>172815.54</v>
      </c>
      <c r="H8" s="57">
        <v>172801.66</v>
      </c>
      <c r="I8" s="57">
        <v>174046.64</v>
      </c>
      <c r="J8" s="57">
        <v>173705.72</v>
      </c>
      <c r="K8" s="57">
        <v>173711.95</v>
      </c>
      <c r="L8" s="57">
        <v>160794.25</v>
      </c>
      <c r="M8" s="7">
        <v>13386.24</v>
      </c>
      <c r="N8" s="7">
        <v>13386.24</v>
      </c>
      <c r="O8" s="7">
        <v>13386.24</v>
      </c>
      <c r="P8" s="7">
        <v>13386.24</v>
      </c>
      <c r="Q8" s="7">
        <v>13386.24</v>
      </c>
      <c r="R8" s="7">
        <v>13386.24</v>
      </c>
      <c r="S8" s="7">
        <v>13386.24</v>
      </c>
      <c r="T8" s="7">
        <v>13386.24</v>
      </c>
      <c r="U8" s="7">
        <v>13386.24</v>
      </c>
      <c r="V8" s="7">
        <v>13386.24</v>
      </c>
      <c r="W8" s="7">
        <v>13386.24</v>
      </c>
      <c r="X8" s="7">
        <v>13386.24</v>
      </c>
      <c r="Y8" s="81">
        <f>SUM(M8:X8)</f>
        <v>160634.88</v>
      </c>
      <c r="Z8" s="73">
        <f>SUM(C8:X8)</f>
        <v>1822908.3599999999</v>
      </c>
    </row>
    <row r="9" spans="1:26" ht="13.5" thickBot="1">
      <c r="A9" s="35"/>
      <c r="B9" s="27" t="s">
        <v>67</v>
      </c>
      <c r="C9" s="58"/>
      <c r="D9" s="64"/>
      <c r="E9" s="58"/>
      <c r="F9" s="58"/>
      <c r="G9" s="58"/>
      <c r="H9" s="58"/>
      <c r="I9" s="58"/>
      <c r="J9" s="58">
        <v>16263.94</v>
      </c>
      <c r="K9" s="58">
        <v>12662.69</v>
      </c>
      <c r="L9" s="58">
        <v>3511.1</v>
      </c>
      <c r="M9" s="7">
        <f aca="true" t="shared" si="0" ref="M9:R9">41.15+65.57+191.26</f>
        <v>297.98</v>
      </c>
      <c r="N9" s="7">
        <f t="shared" si="0"/>
        <v>297.98</v>
      </c>
      <c r="O9" s="7">
        <f t="shared" si="0"/>
        <v>297.98</v>
      </c>
      <c r="P9" s="7">
        <f t="shared" si="0"/>
        <v>297.98</v>
      </c>
      <c r="Q9" s="7">
        <f t="shared" si="0"/>
        <v>297.98</v>
      </c>
      <c r="R9" s="7">
        <f t="shared" si="0"/>
        <v>297.98</v>
      </c>
      <c r="S9" s="8">
        <f aca="true" t="shared" si="1" ref="S9:X9">42.86+65.75+198.07</f>
        <v>306.68</v>
      </c>
      <c r="T9" s="8">
        <f t="shared" si="1"/>
        <v>306.68</v>
      </c>
      <c r="U9" s="8">
        <f t="shared" si="1"/>
        <v>306.68</v>
      </c>
      <c r="V9" s="8">
        <f t="shared" si="1"/>
        <v>306.68</v>
      </c>
      <c r="W9" s="8">
        <f t="shared" si="1"/>
        <v>306.68</v>
      </c>
      <c r="X9" s="8">
        <f t="shared" si="1"/>
        <v>306.68</v>
      </c>
      <c r="Y9" s="81">
        <f>SUM(M9:X9)</f>
        <v>3627.959999999999</v>
      </c>
      <c r="Z9" s="73">
        <f>SUM(C9:X9)</f>
        <v>36065.69000000002</v>
      </c>
    </row>
    <row r="10" spans="1:26" ht="13.5" thickBot="1">
      <c r="A10" s="35"/>
      <c r="B10" s="98" t="s">
        <v>79</v>
      </c>
      <c r="C10" s="99"/>
      <c r="D10" s="100"/>
      <c r="E10" s="99"/>
      <c r="F10" s="99"/>
      <c r="G10" s="99"/>
      <c r="H10" s="99"/>
      <c r="I10" s="99"/>
      <c r="J10" s="99"/>
      <c r="K10" s="99"/>
      <c r="L10" s="99"/>
      <c r="M10" s="101">
        <v>400</v>
      </c>
      <c r="N10" s="101">
        <v>400</v>
      </c>
      <c r="O10" s="101">
        <v>400</v>
      </c>
      <c r="P10" s="101">
        <v>400</v>
      </c>
      <c r="Q10" s="101">
        <v>400</v>
      </c>
      <c r="R10" s="101">
        <v>400</v>
      </c>
      <c r="S10" s="101">
        <v>400</v>
      </c>
      <c r="T10" s="101">
        <v>400</v>
      </c>
      <c r="U10" s="101">
        <v>400</v>
      </c>
      <c r="V10" s="101">
        <v>400</v>
      </c>
      <c r="W10" s="101">
        <v>400</v>
      </c>
      <c r="X10" s="101">
        <v>400</v>
      </c>
      <c r="Y10" s="81">
        <f>SUM(M10:X10)</f>
        <v>4800</v>
      </c>
      <c r="Z10" s="73">
        <f>SUM(C10:X10)</f>
        <v>4800</v>
      </c>
    </row>
    <row r="11" spans="1:26" s="91" customFormat="1" ht="13.5" thickBot="1">
      <c r="A11" s="84" t="s">
        <v>28</v>
      </c>
      <c r="B11" s="85" t="s">
        <v>2</v>
      </c>
      <c r="C11" s="86">
        <f aca="true" t="shared" si="2" ref="C11:M11">SUM(C12:C27)</f>
        <v>106164.30999999998</v>
      </c>
      <c r="D11" s="87">
        <f t="shared" si="2"/>
        <v>173807.44999999998</v>
      </c>
      <c r="E11" s="86">
        <f t="shared" si="2"/>
        <v>141366.4</v>
      </c>
      <c r="F11" s="86">
        <f t="shared" si="2"/>
        <v>160630.83</v>
      </c>
      <c r="G11" s="86">
        <f t="shared" si="2"/>
        <v>150591.89</v>
      </c>
      <c r="H11" s="86">
        <f>SUM(H12:H27)</f>
        <v>178318.81</v>
      </c>
      <c r="I11" s="86">
        <f>SUM(I12:I27)</f>
        <v>160243.01</v>
      </c>
      <c r="J11" s="86">
        <f>SUM(J12:J27)</f>
        <v>173862.45</v>
      </c>
      <c r="K11" s="86">
        <f t="shared" si="2"/>
        <v>194487.76</v>
      </c>
      <c r="L11" s="86">
        <f t="shared" si="2"/>
        <v>138882.99000000002</v>
      </c>
      <c r="M11" s="88">
        <f t="shared" si="2"/>
        <v>11370.68</v>
      </c>
      <c r="N11" s="88">
        <f aca="true" t="shared" si="3" ref="N11:X11">SUM(N12:N27)</f>
        <v>11010.020000000002</v>
      </c>
      <c r="O11" s="88">
        <f t="shared" si="3"/>
        <v>10677.9</v>
      </c>
      <c r="P11" s="88">
        <f t="shared" si="3"/>
        <v>10414.11</v>
      </c>
      <c r="Q11" s="88">
        <f t="shared" si="3"/>
        <v>10970.11</v>
      </c>
      <c r="R11" s="88">
        <f t="shared" si="3"/>
        <v>10774.11</v>
      </c>
      <c r="S11" s="88">
        <f t="shared" si="3"/>
        <v>14266.48</v>
      </c>
      <c r="T11" s="88">
        <f t="shared" si="3"/>
        <v>13649.370000000003</v>
      </c>
      <c r="U11" s="88">
        <f t="shared" si="3"/>
        <v>12428.71</v>
      </c>
      <c r="V11" s="88">
        <f t="shared" si="3"/>
        <v>14347.38</v>
      </c>
      <c r="W11" s="88">
        <f t="shared" si="3"/>
        <v>13245.88</v>
      </c>
      <c r="X11" s="87">
        <f t="shared" si="3"/>
        <v>19711.350000000002</v>
      </c>
      <c r="Y11" s="89">
        <f>SUM(M11:X11)</f>
        <v>152866.1</v>
      </c>
      <c r="Z11" s="90">
        <f>SUM(C11:X11)</f>
        <v>1731222</v>
      </c>
    </row>
    <row r="12" spans="1:26" ht="13.5" thickBot="1">
      <c r="A12" s="35" t="s">
        <v>29</v>
      </c>
      <c r="B12" s="29" t="s">
        <v>80</v>
      </c>
      <c r="C12" s="41">
        <v>28107.91</v>
      </c>
      <c r="D12" s="65">
        <v>35885.16</v>
      </c>
      <c r="E12" s="41">
        <v>37988.25</v>
      </c>
      <c r="F12" s="41">
        <v>40932.35</v>
      </c>
      <c r="G12" s="41">
        <v>39980.89</v>
      </c>
      <c r="H12" s="41">
        <v>36791.45</v>
      </c>
      <c r="I12" s="41">
        <v>38504.31</v>
      </c>
      <c r="J12" s="41">
        <v>35777.92</v>
      </c>
      <c r="K12" s="41">
        <v>34147.25</v>
      </c>
      <c r="L12" s="41">
        <v>379.83</v>
      </c>
      <c r="M12" s="7"/>
      <c r="N12" s="8">
        <v>24.71</v>
      </c>
      <c r="O12" s="8">
        <v>28.74</v>
      </c>
      <c r="P12" s="8">
        <v>32.22</v>
      </c>
      <c r="Q12" s="8">
        <v>49.07</v>
      </c>
      <c r="R12" s="8">
        <v>36.11</v>
      </c>
      <c r="S12" s="8">
        <v>56.27</v>
      </c>
      <c r="T12" s="8">
        <v>58.25</v>
      </c>
      <c r="U12" s="8">
        <v>138.6</v>
      </c>
      <c r="V12" s="8">
        <v>59.3</v>
      </c>
      <c r="W12" s="8">
        <v>4.42</v>
      </c>
      <c r="X12" s="16">
        <v>5.77</v>
      </c>
      <c r="Y12" s="59">
        <f aca="true" t="shared" si="4" ref="Y12:Y29">SUM(M12:X12)</f>
        <v>493.46000000000004</v>
      </c>
      <c r="Z12" s="74">
        <f aca="true" t="shared" si="5" ref="Z12:Z27">SUM(C12:X12)</f>
        <v>328988.77999999997</v>
      </c>
    </row>
    <row r="13" spans="1:26" ht="14.25" customHeight="1" thickBot="1">
      <c r="A13" s="35" t="s">
        <v>30</v>
      </c>
      <c r="B13" s="30" t="s">
        <v>60</v>
      </c>
      <c r="C13" s="42">
        <v>29683.46</v>
      </c>
      <c r="D13" s="66">
        <v>13327.99</v>
      </c>
      <c r="E13" s="42">
        <f>3331.74+630</f>
        <v>3961.74</v>
      </c>
      <c r="F13" s="42">
        <v>2620.43</v>
      </c>
      <c r="G13" s="42">
        <f>1145.95+900</f>
        <v>2045.95</v>
      </c>
      <c r="H13" s="42">
        <v>8445.35</v>
      </c>
      <c r="I13" s="42">
        <v>1301.38</v>
      </c>
      <c r="J13" s="42">
        <v>5616.87</v>
      </c>
      <c r="K13" s="42">
        <v>22980</v>
      </c>
      <c r="L13" s="42">
        <v>6000</v>
      </c>
      <c r="M13" s="9"/>
      <c r="N13" s="10"/>
      <c r="O13" s="10"/>
      <c r="P13" s="10"/>
      <c r="Q13" s="10"/>
      <c r="R13" s="10"/>
      <c r="S13" s="10"/>
      <c r="T13" s="10">
        <v>1200</v>
      </c>
      <c r="U13" s="10"/>
      <c r="V13" s="10"/>
      <c r="W13" s="10"/>
      <c r="X13" s="17"/>
      <c r="Y13" s="59">
        <f t="shared" si="4"/>
        <v>1200</v>
      </c>
      <c r="Z13" s="74">
        <f t="shared" si="5"/>
        <v>97183.16999999998</v>
      </c>
    </row>
    <row r="14" spans="1:26" ht="13.5" customHeight="1" thickBot="1">
      <c r="A14" s="35" t="s">
        <v>31</v>
      </c>
      <c r="B14" s="28" t="s">
        <v>4</v>
      </c>
      <c r="C14" s="42">
        <v>0</v>
      </c>
      <c r="D14" s="66">
        <v>6207.74</v>
      </c>
      <c r="E14" s="42">
        <v>0</v>
      </c>
      <c r="F14" s="42">
        <v>0</v>
      </c>
      <c r="G14" s="42">
        <v>3493.9</v>
      </c>
      <c r="H14" s="42">
        <v>0</v>
      </c>
      <c r="I14" s="42">
        <v>0</v>
      </c>
      <c r="J14" s="42">
        <v>3798.1</v>
      </c>
      <c r="K14" s="42">
        <v>4625.68</v>
      </c>
      <c r="L14" s="42">
        <v>5677.9</v>
      </c>
      <c r="M14" s="9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7">
        <v>5947.3</v>
      </c>
      <c r="Y14" s="59">
        <f t="shared" si="4"/>
        <v>5947.3</v>
      </c>
      <c r="Z14" s="74">
        <f t="shared" si="5"/>
        <v>29750.62</v>
      </c>
    </row>
    <row r="15" spans="1:26" ht="12.75" customHeight="1" thickBot="1">
      <c r="A15" s="35"/>
      <c r="B15" s="28" t="s">
        <v>65</v>
      </c>
      <c r="C15" s="42"/>
      <c r="D15" s="66"/>
      <c r="E15" s="42"/>
      <c r="F15" s="42"/>
      <c r="G15" s="42"/>
      <c r="H15" s="42"/>
      <c r="I15" s="42">
        <v>1900</v>
      </c>
      <c r="J15" s="42">
        <v>1500</v>
      </c>
      <c r="K15" s="42">
        <v>1300</v>
      </c>
      <c r="L15" s="42">
        <v>1500</v>
      </c>
      <c r="M15" s="9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7"/>
      <c r="Y15" s="59">
        <f>SUM(M15:X15)</f>
        <v>0</v>
      </c>
      <c r="Z15" s="74">
        <f>SUM(C15:X15)</f>
        <v>6200</v>
      </c>
    </row>
    <row r="16" spans="1:26" ht="15.75" customHeight="1" thickBot="1">
      <c r="A16" s="35" t="s">
        <v>32</v>
      </c>
      <c r="B16" s="30" t="s">
        <v>55</v>
      </c>
      <c r="C16" s="42">
        <v>3248</v>
      </c>
      <c r="D16" s="66">
        <v>32570.81</v>
      </c>
      <c r="E16" s="42">
        <v>4740.81</v>
      </c>
      <c r="F16" s="42">
        <v>16639.63</v>
      </c>
      <c r="G16" s="42">
        <v>3912.56</v>
      </c>
      <c r="H16" s="42">
        <v>17867.75</v>
      </c>
      <c r="I16" s="42">
        <v>10782.72</v>
      </c>
      <c r="J16" s="42">
        <v>3767.98</v>
      </c>
      <c r="K16" s="42">
        <v>3757.66</v>
      </c>
      <c r="L16" s="42">
        <v>2456.81</v>
      </c>
      <c r="M16" s="9"/>
      <c r="N16" s="10">
        <v>408.07</v>
      </c>
      <c r="O16" s="10"/>
      <c r="P16" s="10"/>
      <c r="Q16" s="10">
        <f>78+250</f>
        <v>328</v>
      </c>
      <c r="R16" s="10">
        <v>205.65</v>
      </c>
      <c r="S16" s="10">
        <f>1076.6+320</f>
        <v>1396.6</v>
      </c>
      <c r="T16" s="10">
        <f>486.78+210</f>
        <v>696.78</v>
      </c>
      <c r="U16" s="10">
        <v>82.4</v>
      </c>
      <c r="V16" s="10">
        <f>981.25+650</f>
        <v>1631.25</v>
      </c>
      <c r="W16" s="10"/>
      <c r="X16" s="17"/>
      <c r="Y16" s="59">
        <f>SUM(M16:X16)</f>
        <v>4748.75</v>
      </c>
      <c r="Z16" s="74">
        <f t="shared" si="5"/>
        <v>104493.48</v>
      </c>
    </row>
    <row r="17" spans="1:26" ht="24.75" customHeight="1" thickBot="1">
      <c r="A17" s="35" t="s">
        <v>33</v>
      </c>
      <c r="B17" s="30" t="s">
        <v>49</v>
      </c>
      <c r="C17" s="42">
        <v>0</v>
      </c>
      <c r="D17" s="66">
        <v>2150.52</v>
      </c>
      <c r="E17" s="42">
        <v>256</v>
      </c>
      <c r="F17" s="42">
        <v>0</v>
      </c>
      <c r="G17" s="42">
        <v>685.33</v>
      </c>
      <c r="H17" s="42">
        <v>1652.96</v>
      </c>
      <c r="I17" s="42">
        <v>186</v>
      </c>
      <c r="J17" s="42">
        <v>1011.76</v>
      </c>
      <c r="K17" s="42">
        <v>92</v>
      </c>
      <c r="L17" s="42">
        <v>162.59</v>
      </c>
      <c r="M17" s="9">
        <v>80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7"/>
      <c r="Y17" s="59">
        <f t="shared" si="4"/>
        <v>80</v>
      </c>
      <c r="Z17" s="74">
        <f t="shared" si="5"/>
        <v>6277.16</v>
      </c>
    </row>
    <row r="18" spans="1:26" ht="12" customHeight="1" thickBot="1">
      <c r="A18" s="35" t="s">
        <v>34</v>
      </c>
      <c r="B18" s="30" t="s">
        <v>68</v>
      </c>
      <c r="C18" s="42">
        <v>3554.45</v>
      </c>
      <c r="D18" s="66">
        <v>3999.51</v>
      </c>
      <c r="E18" s="42">
        <v>2238.66</v>
      </c>
      <c r="F18" s="42">
        <v>0</v>
      </c>
      <c r="G18" s="42"/>
      <c r="H18" s="42">
        <v>0</v>
      </c>
      <c r="I18" s="42">
        <v>0</v>
      </c>
      <c r="J18" s="42">
        <v>12846.22</v>
      </c>
      <c r="K18" s="42">
        <v>9264.48</v>
      </c>
      <c r="L18" s="42">
        <v>0</v>
      </c>
      <c r="M18" s="9"/>
      <c r="N18" s="9"/>
      <c r="O18" s="9"/>
      <c r="P18" s="9"/>
      <c r="Q18" s="9"/>
      <c r="R18" s="9"/>
      <c r="S18" s="10"/>
      <c r="T18" s="10"/>
      <c r="U18" s="10"/>
      <c r="V18" s="10"/>
      <c r="W18" s="10"/>
      <c r="X18" s="10"/>
      <c r="Y18" s="59">
        <f t="shared" si="4"/>
        <v>0</v>
      </c>
      <c r="Z18" s="74">
        <f t="shared" si="5"/>
        <v>31903.319999999996</v>
      </c>
    </row>
    <row r="19" spans="1:26" ht="12" customHeight="1" thickBot="1">
      <c r="A19" s="35"/>
      <c r="B19" s="30" t="s">
        <v>70</v>
      </c>
      <c r="C19" s="42"/>
      <c r="D19" s="66"/>
      <c r="E19" s="42"/>
      <c r="F19" s="42"/>
      <c r="G19" s="42"/>
      <c r="H19" s="42"/>
      <c r="I19" s="42"/>
      <c r="J19" s="42">
        <v>474.63</v>
      </c>
      <c r="K19" s="42">
        <v>490.32</v>
      </c>
      <c r="L19" s="42">
        <v>496.38</v>
      </c>
      <c r="M19" s="9">
        <v>41.74</v>
      </c>
      <c r="N19" s="9">
        <v>41.74</v>
      </c>
      <c r="O19" s="9">
        <v>41.74</v>
      </c>
      <c r="P19" s="9">
        <v>41.74</v>
      </c>
      <c r="Q19" s="9">
        <v>41.74</v>
      </c>
      <c r="R19" s="9">
        <v>41.74</v>
      </c>
      <c r="S19" s="9">
        <v>43.43</v>
      </c>
      <c r="T19" s="9">
        <v>43.43</v>
      </c>
      <c r="U19" s="9">
        <v>43.43</v>
      </c>
      <c r="V19" s="9">
        <v>43.43</v>
      </c>
      <c r="W19" s="9">
        <v>43.43</v>
      </c>
      <c r="X19" s="9">
        <v>43.43</v>
      </c>
      <c r="Y19" s="59">
        <f>SUM(M19:X19)</f>
        <v>511.02000000000004</v>
      </c>
      <c r="Z19" s="74">
        <f>SUM(C19:X19)</f>
        <v>1972.3500000000004</v>
      </c>
    </row>
    <row r="20" spans="1:26" ht="12" customHeight="1" thickBot="1">
      <c r="A20" s="35"/>
      <c r="B20" s="30" t="s">
        <v>69</v>
      </c>
      <c r="C20" s="42"/>
      <c r="D20" s="66"/>
      <c r="E20" s="42"/>
      <c r="F20" s="42"/>
      <c r="G20" s="42"/>
      <c r="H20" s="42"/>
      <c r="I20" s="42"/>
      <c r="J20" s="42">
        <v>2411.69</v>
      </c>
      <c r="K20" s="42">
        <v>2101.5</v>
      </c>
      <c r="L20" s="42">
        <v>2196.86</v>
      </c>
      <c r="M20" s="9">
        <v>193.93</v>
      </c>
      <c r="N20" s="9">
        <v>193.93</v>
      </c>
      <c r="O20" s="9">
        <v>193.93</v>
      </c>
      <c r="P20" s="9">
        <v>193.93</v>
      </c>
      <c r="Q20" s="9">
        <v>193.93</v>
      </c>
      <c r="R20" s="9">
        <v>193.93</v>
      </c>
      <c r="S20" s="9">
        <v>147.32</v>
      </c>
      <c r="T20" s="9">
        <v>199.9</v>
      </c>
      <c r="U20" s="9">
        <v>200.88</v>
      </c>
      <c r="V20" s="9">
        <v>200.88</v>
      </c>
      <c r="W20" s="9">
        <v>200.53</v>
      </c>
      <c r="X20" s="9">
        <v>200.7</v>
      </c>
      <c r="Y20" s="59">
        <f>SUM(M20:X20)</f>
        <v>2313.7900000000004</v>
      </c>
      <c r="Z20" s="74">
        <f>SUM(C20:X20)</f>
        <v>9023.840000000002</v>
      </c>
    </row>
    <row r="21" spans="1:26" ht="12" customHeight="1" thickBot="1">
      <c r="A21" s="35"/>
      <c r="B21" s="30" t="s">
        <v>71</v>
      </c>
      <c r="C21" s="42"/>
      <c r="D21" s="66"/>
      <c r="E21" s="42"/>
      <c r="F21" s="42"/>
      <c r="G21" s="42"/>
      <c r="H21" s="42"/>
      <c r="I21" s="42"/>
      <c r="J21" s="42">
        <v>413.35</v>
      </c>
      <c r="K21" s="42">
        <v>714.06</v>
      </c>
      <c r="L21" s="42">
        <v>750.77</v>
      </c>
      <c r="M21" s="9">
        <v>66.49</v>
      </c>
      <c r="N21" s="9">
        <v>66.49</v>
      </c>
      <c r="O21" s="9">
        <v>66.49</v>
      </c>
      <c r="P21" s="9">
        <v>66.49</v>
      </c>
      <c r="Q21" s="9">
        <v>66.49</v>
      </c>
      <c r="R21" s="9">
        <v>66.49</v>
      </c>
      <c r="S21" s="9">
        <v>66.68</v>
      </c>
      <c r="T21" s="9">
        <v>66.68</v>
      </c>
      <c r="U21" s="9">
        <v>66.68</v>
      </c>
      <c r="V21" s="9">
        <v>66.68</v>
      </c>
      <c r="W21" s="9">
        <v>66.68</v>
      </c>
      <c r="X21" s="9">
        <v>66.68</v>
      </c>
      <c r="Y21" s="59">
        <f>SUM(M21:X21)</f>
        <v>799.0200000000002</v>
      </c>
      <c r="Z21" s="74">
        <f>SUM(C21:X21)</f>
        <v>2677.199999999998</v>
      </c>
    </row>
    <row r="22" spans="1:26" ht="14.25" customHeight="1" thickBot="1">
      <c r="A22" s="35" t="s">
        <v>35</v>
      </c>
      <c r="B22" s="30" t="s">
        <v>5</v>
      </c>
      <c r="C22" s="42">
        <v>1260.02</v>
      </c>
      <c r="D22" s="66">
        <v>651.89</v>
      </c>
      <c r="E22" s="42">
        <v>566.78</v>
      </c>
      <c r="F22" s="42">
        <v>572.55</v>
      </c>
      <c r="G22" s="42"/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9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7"/>
      <c r="Y22" s="59">
        <f t="shared" si="4"/>
        <v>0</v>
      </c>
      <c r="Z22" s="74">
        <f>SUM(C22:X22)</f>
        <v>3051.24</v>
      </c>
    </row>
    <row r="23" spans="1:26" ht="24.75" customHeight="1" thickBot="1">
      <c r="A23" s="35" t="s">
        <v>36</v>
      </c>
      <c r="B23" s="30" t="s">
        <v>72</v>
      </c>
      <c r="C23" s="42">
        <v>1800.4</v>
      </c>
      <c r="D23" s="66">
        <v>6433.54</v>
      </c>
      <c r="E23" s="42">
        <v>8293.81</v>
      </c>
      <c r="F23" s="42">
        <v>9079.4</v>
      </c>
      <c r="G23" s="42">
        <v>5670.88</v>
      </c>
      <c r="H23" s="42">
        <v>6686.1</v>
      </c>
      <c r="I23" s="42">
        <v>7122.91</v>
      </c>
      <c r="J23" s="42">
        <v>7231.46</v>
      </c>
      <c r="K23" s="42">
        <v>7588.96</v>
      </c>
      <c r="L23" s="42">
        <v>6131.64</v>
      </c>
      <c r="M23" s="9">
        <v>449.8</v>
      </c>
      <c r="N23" s="10">
        <v>403.22</v>
      </c>
      <c r="O23" s="10">
        <v>501.3</v>
      </c>
      <c r="P23" s="10">
        <v>391.9</v>
      </c>
      <c r="Q23" s="10">
        <v>405.49</v>
      </c>
      <c r="R23" s="10">
        <v>409.28</v>
      </c>
      <c r="S23" s="10">
        <v>473.37</v>
      </c>
      <c r="T23" s="10">
        <v>589.93</v>
      </c>
      <c r="U23" s="10">
        <v>588.08</v>
      </c>
      <c r="V23" s="10">
        <v>657.96</v>
      </c>
      <c r="W23" s="10">
        <v>611.93</v>
      </c>
      <c r="X23" s="17">
        <v>558.6</v>
      </c>
      <c r="Y23" s="59">
        <f t="shared" si="4"/>
        <v>6040.860000000001</v>
      </c>
      <c r="Z23" s="74">
        <f t="shared" si="5"/>
        <v>72079.96</v>
      </c>
    </row>
    <row r="24" spans="1:26" ht="24" customHeight="1" thickBot="1">
      <c r="A24" s="35" t="s">
        <v>37</v>
      </c>
      <c r="B24" s="30" t="s">
        <v>61</v>
      </c>
      <c r="C24" s="42">
        <v>3180.5</v>
      </c>
      <c r="D24" s="66">
        <v>3501.08</v>
      </c>
      <c r="E24" s="42">
        <v>1071.12</v>
      </c>
      <c r="F24" s="42">
        <v>783.05</v>
      </c>
      <c r="G24" s="42">
        <v>1706.7</v>
      </c>
      <c r="H24" s="42">
        <v>1152.34</v>
      </c>
      <c r="I24" s="42">
        <v>1012.88</v>
      </c>
      <c r="J24" s="42">
        <v>789.81</v>
      </c>
      <c r="K24" s="42">
        <v>765.6</v>
      </c>
      <c r="L24" s="42">
        <v>693.93</v>
      </c>
      <c r="M24" s="9">
        <v>25.83</v>
      </c>
      <c r="N24" s="10">
        <v>36.6</v>
      </c>
      <c r="O24" s="10">
        <v>35.06</v>
      </c>
      <c r="P24" s="10">
        <v>35.03</v>
      </c>
      <c r="Q24" s="10">
        <v>34.16</v>
      </c>
      <c r="R24" s="10">
        <v>29.85</v>
      </c>
      <c r="S24" s="10">
        <v>67.31</v>
      </c>
      <c r="T24" s="10">
        <v>34.93</v>
      </c>
      <c r="U24" s="10">
        <v>21.33</v>
      </c>
      <c r="V24" s="10">
        <v>64.44</v>
      </c>
      <c r="W24" s="10">
        <v>27.7</v>
      </c>
      <c r="X24" s="17">
        <v>75.46</v>
      </c>
      <c r="Y24" s="59">
        <f t="shared" si="4"/>
        <v>487.7</v>
      </c>
      <c r="Z24" s="74">
        <f t="shared" si="5"/>
        <v>15144.710000000001</v>
      </c>
    </row>
    <row r="25" spans="1:26" ht="34.5" customHeight="1" thickBot="1">
      <c r="A25" s="35" t="s">
        <v>38</v>
      </c>
      <c r="B25" s="30" t="s">
        <v>62</v>
      </c>
      <c r="C25" s="42">
        <v>2440.87</v>
      </c>
      <c r="D25" s="66">
        <v>5878.29</v>
      </c>
      <c r="E25" s="42">
        <v>5590.57</v>
      </c>
      <c r="F25" s="42">
        <v>7683.19</v>
      </c>
      <c r="G25" s="42">
        <v>6613</v>
      </c>
      <c r="H25" s="42">
        <v>8593.85</v>
      </c>
      <c r="I25" s="42">
        <v>7410.67</v>
      </c>
      <c r="J25" s="42">
        <v>7791.32</v>
      </c>
      <c r="K25" s="42">
        <v>8533.82</v>
      </c>
      <c r="L25" s="42">
        <v>9361.13</v>
      </c>
      <c r="M25" s="9">
        <f>18.37+242.02+394.64</f>
        <v>655.03</v>
      </c>
      <c r="N25" s="10">
        <f>19.06+284.3+423.38</f>
        <v>726.74</v>
      </c>
      <c r="O25" s="10">
        <f>18.18+256.47+434.04</f>
        <v>708.69</v>
      </c>
      <c r="P25" s="10">
        <f>22.57+301.68+405.21</f>
        <v>729.46</v>
      </c>
      <c r="Q25" s="10">
        <f>19+377+402.19</f>
        <v>798.19</v>
      </c>
      <c r="R25" s="10">
        <f>18.45+318.23+379.34</f>
        <v>716.02</v>
      </c>
      <c r="S25" s="10">
        <f>19.94+259.71+384.86</f>
        <v>664.51</v>
      </c>
      <c r="T25" s="10">
        <f>373.48+18.85+261.89</f>
        <v>654.22</v>
      </c>
      <c r="U25" s="10">
        <f>337.55+576.72</f>
        <v>914.27</v>
      </c>
      <c r="V25" s="10">
        <f>19.85+563.73+561.27</f>
        <v>1144.85</v>
      </c>
      <c r="W25" s="10">
        <f>21.83+452.74+540.33</f>
        <v>1014.9000000000001</v>
      </c>
      <c r="X25" s="17">
        <f>24.64+629.02+495.76</f>
        <v>1149.42</v>
      </c>
      <c r="Y25" s="59">
        <f t="shared" si="4"/>
        <v>9876.300000000001</v>
      </c>
      <c r="Z25" s="74">
        <f t="shared" si="5"/>
        <v>79773.01000000001</v>
      </c>
    </row>
    <row r="26" spans="1:26" ht="15.75" customHeight="1" thickBot="1">
      <c r="A26" s="35" t="s">
        <v>53</v>
      </c>
      <c r="B26" s="30" t="s">
        <v>8</v>
      </c>
      <c r="C26" s="42">
        <v>28717.68</v>
      </c>
      <c r="D26" s="66">
        <v>54383.02</v>
      </c>
      <c r="E26" s="42">
        <v>70125.4</v>
      </c>
      <c r="F26" s="42">
        <v>75910.45</v>
      </c>
      <c r="G26" s="42">
        <v>77811.86</v>
      </c>
      <c r="H26" s="42">
        <v>89893.58</v>
      </c>
      <c r="I26" s="42">
        <v>84962.69</v>
      </c>
      <c r="J26" s="42">
        <v>83320.88</v>
      </c>
      <c r="K26" s="42">
        <v>91105.22</v>
      </c>
      <c r="L26" s="42">
        <v>96528.98</v>
      </c>
      <c r="M26" s="9">
        <f>11370.68-2088.62</f>
        <v>9282.060000000001</v>
      </c>
      <c r="N26" s="10">
        <f>11010.02-2551.37</f>
        <v>8458.650000000001</v>
      </c>
      <c r="O26" s="10">
        <f>10677.9-2050.36</f>
        <v>8627.539999999999</v>
      </c>
      <c r="P26" s="10">
        <f>10414.11-2004.86</f>
        <v>8409.25</v>
      </c>
      <c r="Q26" s="10">
        <f>10970.11-2394.18</f>
        <v>8575.93</v>
      </c>
      <c r="R26" s="10">
        <f>10774.11-2168.75</f>
        <v>8605.36</v>
      </c>
      <c r="S26" s="10">
        <f>14266.48-3726.62</f>
        <v>10539.86</v>
      </c>
      <c r="T26" s="10">
        <f>13649.37-4002.82</f>
        <v>9646.550000000001</v>
      </c>
      <c r="U26" s="10">
        <f>12428.71-2588.01</f>
        <v>9840.699999999999</v>
      </c>
      <c r="V26" s="10">
        <f>14347.38-4288.17</f>
        <v>10059.21</v>
      </c>
      <c r="W26" s="10">
        <f>13245.88-2421.86</f>
        <v>10824.019999999999</v>
      </c>
      <c r="X26" s="17">
        <f>19711.35-8569.24</f>
        <v>11142.109999999999</v>
      </c>
      <c r="Y26" s="59">
        <f t="shared" si="4"/>
        <v>114011.23999999999</v>
      </c>
      <c r="Z26" s="74">
        <f t="shared" si="5"/>
        <v>866771.0000000001</v>
      </c>
    </row>
    <row r="27" spans="1:26" ht="13.5" customHeight="1" thickBot="1">
      <c r="A27" s="35" t="s">
        <v>54</v>
      </c>
      <c r="B27" s="31" t="s">
        <v>3</v>
      </c>
      <c r="C27" s="43">
        <v>4171.02</v>
      </c>
      <c r="D27" s="67">
        <v>8817.9</v>
      </c>
      <c r="E27" s="43">
        <v>6533.26</v>
      </c>
      <c r="F27" s="43">
        <v>6409.78</v>
      </c>
      <c r="G27" s="43">
        <v>8670.82</v>
      </c>
      <c r="H27" s="43">
        <v>7235.43</v>
      </c>
      <c r="I27" s="43">
        <v>7059.45</v>
      </c>
      <c r="J27" s="43">
        <v>7110.46</v>
      </c>
      <c r="K27" s="43">
        <v>7021.21</v>
      </c>
      <c r="L27" s="43">
        <v>6546.17</v>
      </c>
      <c r="M27" s="11">
        <f>16.11+559.69</f>
        <v>575.8000000000001</v>
      </c>
      <c r="N27" s="12">
        <f>5.5+9.45+634.92</f>
        <v>649.87</v>
      </c>
      <c r="O27" s="12">
        <f>5.2+10.25+458.96</f>
        <v>474.40999999999997</v>
      </c>
      <c r="P27" s="12">
        <f>32.7+10.48+470.91</f>
        <v>514.09</v>
      </c>
      <c r="Q27" s="12">
        <f>3.2+10.57+463.34</f>
        <v>477.10999999999996</v>
      </c>
      <c r="R27" s="12">
        <f>4.6+10.2+454.88</f>
        <v>469.68</v>
      </c>
      <c r="S27" s="12">
        <f>15.12+796.01</f>
        <v>811.13</v>
      </c>
      <c r="T27" s="12">
        <f>10.33+448.37</f>
        <v>458.7</v>
      </c>
      <c r="U27" s="12">
        <f>11.9+17.93+502.51</f>
        <v>532.34</v>
      </c>
      <c r="V27" s="12">
        <f>4.1+9.99+405.29</f>
        <v>419.38</v>
      </c>
      <c r="W27" s="12">
        <f>8.4+9.95+433.92</f>
        <v>452.27000000000004</v>
      </c>
      <c r="X27" s="18">
        <f>8.2+11.62+502.06</f>
        <v>521.88</v>
      </c>
      <c r="Y27" s="59">
        <f t="shared" si="4"/>
        <v>6356.660000000001</v>
      </c>
      <c r="Z27" s="74">
        <f t="shared" si="5"/>
        <v>75932.16</v>
      </c>
    </row>
    <row r="28" spans="1:26" ht="15" customHeight="1" thickBot="1">
      <c r="A28" s="35"/>
      <c r="B28" s="38" t="s">
        <v>58</v>
      </c>
      <c r="C28" s="69"/>
      <c r="D28" s="70"/>
      <c r="E28" s="69"/>
      <c r="F28" s="69"/>
      <c r="G28" s="59">
        <f>G8*5%</f>
        <v>8640.777</v>
      </c>
      <c r="H28" s="59">
        <f>H8*5%</f>
        <v>8640.083</v>
      </c>
      <c r="I28" s="59">
        <f>I8*5%</f>
        <v>8702.332</v>
      </c>
      <c r="J28" s="83">
        <f>J8*5%</f>
        <v>8685.286</v>
      </c>
      <c r="K28" s="83">
        <f>K8*5%</f>
        <v>8685.597500000002</v>
      </c>
      <c r="L28" s="83">
        <f>(L8+L9)*5%</f>
        <v>8215.2675</v>
      </c>
      <c r="M28" s="71">
        <f>(M8+M9)*5%</f>
        <v>684.211</v>
      </c>
      <c r="N28" s="71">
        <f aca="true" t="shared" si="6" ref="N28:X28">(N8+N9)*5%</f>
        <v>684.211</v>
      </c>
      <c r="O28" s="71">
        <f t="shared" si="6"/>
        <v>684.211</v>
      </c>
      <c r="P28" s="71">
        <f t="shared" si="6"/>
        <v>684.211</v>
      </c>
      <c r="Q28" s="71">
        <f t="shared" si="6"/>
        <v>684.211</v>
      </c>
      <c r="R28" s="71">
        <f t="shared" si="6"/>
        <v>684.211</v>
      </c>
      <c r="S28" s="71">
        <f t="shared" si="6"/>
        <v>684.6460000000001</v>
      </c>
      <c r="T28" s="71">
        <f t="shared" si="6"/>
        <v>684.6460000000001</v>
      </c>
      <c r="U28" s="71">
        <f t="shared" si="6"/>
        <v>684.6460000000001</v>
      </c>
      <c r="V28" s="71">
        <f t="shared" si="6"/>
        <v>684.6460000000001</v>
      </c>
      <c r="W28" s="71">
        <f t="shared" si="6"/>
        <v>684.6460000000001</v>
      </c>
      <c r="X28" s="71">
        <f t="shared" si="6"/>
        <v>684.6460000000001</v>
      </c>
      <c r="Y28" s="59">
        <f t="shared" si="4"/>
        <v>8213.142</v>
      </c>
      <c r="Z28" s="75"/>
    </row>
    <row r="29" spans="1:26" ht="13.5" customHeight="1" thickBot="1">
      <c r="A29" s="76" t="s">
        <v>39</v>
      </c>
      <c r="B29" s="55" t="s">
        <v>51</v>
      </c>
      <c r="C29" s="56"/>
      <c r="D29" s="68"/>
      <c r="E29" s="56"/>
      <c r="F29" s="56"/>
      <c r="G29" s="56"/>
      <c r="H29" s="56"/>
      <c r="I29" s="56"/>
      <c r="J29" s="82">
        <f aca="true" t="shared" si="7" ref="J29:X29">SUM(J8+J9-J11)-J28</f>
        <v>7421.923999999992</v>
      </c>
      <c r="K29" s="82">
        <f>SUM(K8+K9-K11)-K28</f>
        <v>-16798.7175</v>
      </c>
      <c r="L29" s="82">
        <f>SUM(L8+L9-L11)-L28</f>
        <v>17207.092499999984</v>
      </c>
      <c r="M29" s="72">
        <f t="shared" si="7"/>
        <v>1629.328999999999</v>
      </c>
      <c r="N29" s="72">
        <f t="shared" si="7"/>
        <v>1989.988999999997</v>
      </c>
      <c r="O29" s="72">
        <f t="shared" si="7"/>
        <v>2322.1089999999995</v>
      </c>
      <c r="P29" s="72">
        <f t="shared" si="7"/>
        <v>2585.8989999999985</v>
      </c>
      <c r="Q29" s="72">
        <f t="shared" si="7"/>
        <v>2029.8989999999988</v>
      </c>
      <c r="R29" s="72">
        <f t="shared" si="7"/>
        <v>2225.8989999999985</v>
      </c>
      <c r="S29" s="72">
        <f t="shared" si="7"/>
        <v>-1258.2059999999997</v>
      </c>
      <c r="T29" s="72">
        <f t="shared" si="7"/>
        <v>-641.0960000000026</v>
      </c>
      <c r="U29" s="72">
        <f t="shared" si="7"/>
        <v>579.5640000000009</v>
      </c>
      <c r="V29" s="72">
        <f t="shared" si="7"/>
        <v>-1339.1059999999993</v>
      </c>
      <c r="W29" s="72">
        <f t="shared" si="7"/>
        <v>-237.6059999999992</v>
      </c>
      <c r="X29" s="72">
        <f t="shared" si="7"/>
        <v>-6703.076000000002</v>
      </c>
      <c r="Y29" s="82">
        <f t="shared" si="4"/>
        <v>3183.597999999988</v>
      </c>
      <c r="Z29" s="60"/>
    </row>
    <row r="30" spans="1:26" ht="23.25" customHeight="1" thickBot="1">
      <c r="A30" s="92" t="s">
        <v>40</v>
      </c>
      <c r="B30" s="93" t="s">
        <v>22</v>
      </c>
      <c r="C30" s="94">
        <v>27442.23</v>
      </c>
      <c r="D30" s="87">
        <f>SUM(D8-D11)</f>
        <v>-13846.039999999979</v>
      </c>
      <c r="E30" s="86">
        <f>SUM(E8-E11)</f>
        <v>26875.050000000017</v>
      </c>
      <c r="F30" s="86">
        <f>SUM(F8-F11)</f>
        <v>11957.49000000002</v>
      </c>
      <c r="G30" s="89">
        <f>SUM(G8-G11)-G28</f>
        <v>13582.872999999994</v>
      </c>
      <c r="H30" s="89">
        <f>SUM(H8-H11)-H28</f>
        <v>-14157.232999999995</v>
      </c>
      <c r="I30" s="89">
        <f>SUM(I8-I11)-I28</f>
        <v>5101.298000000004</v>
      </c>
      <c r="J30" s="89">
        <f>SUM(J8+J9-J11)-J28</f>
        <v>7421.923999999992</v>
      </c>
      <c r="K30" s="89">
        <f>SUM(K8+K9-K11)-K28</f>
        <v>-16798.7175</v>
      </c>
      <c r="L30" s="89">
        <f>SUM(L8+L9-L11)-L28</f>
        <v>17207.092499999984</v>
      </c>
      <c r="M30" s="95">
        <f>SUM(M8+M9-M11)-M28</f>
        <v>1629.328999999999</v>
      </c>
      <c r="N30" s="96">
        <f>SUM(N29+M30)</f>
        <v>3619.317999999996</v>
      </c>
      <c r="O30" s="96">
        <f aca="true" t="shared" si="8" ref="O30:X30">SUM(O29+N30)</f>
        <v>5941.426999999996</v>
      </c>
      <c r="P30" s="96">
        <f t="shared" si="8"/>
        <v>8527.325999999994</v>
      </c>
      <c r="Q30" s="96">
        <f t="shared" si="8"/>
        <v>10557.224999999993</v>
      </c>
      <c r="R30" s="96">
        <f t="shared" si="8"/>
        <v>12783.123999999993</v>
      </c>
      <c r="S30" s="96">
        <f t="shared" si="8"/>
        <v>11524.917999999992</v>
      </c>
      <c r="T30" s="96">
        <f t="shared" si="8"/>
        <v>10883.82199999999</v>
      </c>
      <c r="U30" s="96">
        <f t="shared" si="8"/>
        <v>11463.38599999999</v>
      </c>
      <c r="V30" s="96">
        <f t="shared" si="8"/>
        <v>10124.27999999999</v>
      </c>
      <c r="W30" s="96">
        <f t="shared" si="8"/>
        <v>9886.67399999999</v>
      </c>
      <c r="X30" s="96">
        <f t="shared" si="8"/>
        <v>3183.597999999988</v>
      </c>
      <c r="Y30" s="86"/>
      <c r="Z30" s="97"/>
    </row>
    <row r="31" spans="1:26" ht="24.75" customHeight="1" hidden="1" thickBot="1">
      <c r="A31" s="77" t="s">
        <v>41</v>
      </c>
      <c r="B31" s="32" t="s">
        <v>23</v>
      </c>
      <c r="C31" s="39">
        <v>27442.23</v>
      </c>
      <c r="D31" s="78">
        <f>SUM(D8-D11,C31)</f>
        <v>13596.19000000002</v>
      </c>
      <c r="E31" s="53">
        <f>SUM(E8-E11,D31)</f>
        <v>40471.240000000034</v>
      </c>
      <c r="F31" s="53">
        <f>SUM(F8-F11,E31)</f>
        <v>52428.730000000054</v>
      </c>
      <c r="G31" s="79">
        <f aca="true" t="shared" si="9" ref="G31:M31">SUM(G30+F31)</f>
        <v>66011.60300000005</v>
      </c>
      <c r="H31" s="79">
        <f t="shared" si="9"/>
        <v>51854.37000000005</v>
      </c>
      <c r="I31" s="79">
        <f t="shared" si="9"/>
        <v>56955.668000000056</v>
      </c>
      <c r="J31" s="79">
        <f t="shared" si="9"/>
        <v>64377.59200000005</v>
      </c>
      <c r="K31" s="79">
        <f t="shared" si="9"/>
        <v>47578.87450000005</v>
      </c>
      <c r="L31" s="79">
        <f t="shared" si="9"/>
        <v>64785.96700000003</v>
      </c>
      <c r="M31" s="79">
        <f t="shared" si="9"/>
        <v>66415.29600000003</v>
      </c>
      <c r="N31" s="80">
        <f>SUM(N29+M31)</f>
        <v>68405.28500000003</v>
      </c>
      <c r="O31" s="80">
        <f aca="true" t="shared" si="10" ref="O31:W31">SUM(O29+N31)</f>
        <v>70727.39400000003</v>
      </c>
      <c r="P31" s="80">
        <f t="shared" si="10"/>
        <v>73313.29300000003</v>
      </c>
      <c r="Q31" s="80">
        <f t="shared" si="10"/>
        <v>75343.19200000004</v>
      </c>
      <c r="R31" s="80">
        <f t="shared" si="10"/>
        <v>77569.09100000004</v>
      </c>
      <c r="S31" s="80">
        <f t="shared" si="10"/>
        <v>76310.88500000004</v>
      </c>
      <c r="T31" s="80">
        <f t="shared" si="10"/>
        <v>75669.78900000003</v>
      </c>
      <c r="U31" s="80">
        <f t="shared" si="10"/>
        <v>76249.35300000003</v>
      </c>
      <c r="V31" s="80">
        <f t="shared" si="10"/>
        <v>74910.24700000003</v>
      </c>
      <c r="W31" s="80">
        <f t="shared" si="10"/>
        <v>74672.64100000003</v>
      </c>
      <c r="X31" s="80">
        <f>SUM(X29+W31)</f>
        <v>67969.56500000003</v>
      </c>
      <c r="Y31" s="53"/>
      <c r="Z31" s="47"/>
    </row>
    <row r="32" spans="1:26" ht="15" customHeight="1" hidden="1" thickBot="1">
      <c r="A32" s="35" t="s">
        <v>42</v>
      </c>
      <c r="B32" s="44" t="s">
        <v>7</v>
      </c>
      <c r="C32" s="39"/>
      <c r="D32" s="39"/>
      <c r="E32" s="61"/>
      <c r="F32" s="61"/>
      <c r="G32" s="61"/>
      <c r="H32" s="61"/>
      <c r="I32" s="61"/>
      <c r="J32" s="61"/>
      <c r="K32" s="61"/>
      <c r="L32" s="61"/>
      <c r="M32" s="13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9"/>
      <c r="Y32" s="52"/>
      <c r="Z32" s="48"/>
    </row>
    <row r="33" spans="1:26" ht="10.5" customHeight="1" hidden="1" thickBot="1">
      <c r="A33" s="36" t="s">
        <v>43</v>
      </c>
      <c r="B33" s="32" t="s">
        <v>24</v>
      </c>
      <c r="C33" s="39"/>
      <c r="D33" s="39"/>
      <c r="E33" s="61"/>
      <c r="F33" s="61"/>
      <c r="G33" s="61"/>
      <c r="H33" s="61"/>
      <c r="I33" s="61"/>
      <c r="J33" s="61"/>
      <c r="K33" s="61"/>
      <c r="L33" s="61"/>
      <c r="M33" s="13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9"/>
      <c r="Y33" s="53"/>
      <c r="Z33" s="49"/>
    </row>
    <row r="34" spans="1:26" ht="12.75" customHeight="1" hidden="1" thickBot="1">
      <c r="A34" s="36" t="s">
        <v>45</v>
      </c>
      <c r="B34" s="33" t="s">
        <v>46</v>
      </c>
      <c r="C34" s="40"/>
      <c r="D34" s="40"/>
      <c r="E34" s="62"/>
      <c r="F34" s="62"/>
      <c r="G34" s="62"/>
      <c r="H34" s="62"/>
      <c r="I34" s="62"/>
      <c r="J34" s="62"/>
      <c r="K34" s="62"/>
      <c r="L34" s="62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54"/>
      <c r="Z34" s="50"/>
    </row>
    <row r="35" spans="1:26" ht="10.5" customHeight="1" hidden="1" thickBot="1">
      <c r="A35" s="45" t="s">
        <v>48</v>
      </c>
      <c r="B35" s="33" t="s">
        <v>25</v>
      </c>
      <c r="C35" s="40"/>
      <c r="D35" s="40"/>
      <c r="E35" s="62"/>
      <c r="F35" s="62"/>
      <c r="G35" s="62"/>
      <c r="H35" s="62"/>
      <c r="I35" s="62"/>
      <c r="J35" s="62"/>
      <c r="K35" s="62"/>
      <c r="L35" s="62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4"/>
      <c r="Y35" s="54"/>
      <c r="Z35" s="50"/>
    </row>
    <row r="36" spans="3:26" ht="6.75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2"/>
    </row>
    <row r="37" ht="12.75" hidden="1"/>
    <row r="38" ht="12.75" hidden="1"/>
    <row r="39" ht="12.75" hidden="1"/>
    <row r="40" ht="12.75" hidden="1"/>
    <row r="41" ht="12.75">
      <c r="B41" t="s">
        <v>63</v>
      </c>
    </row>
    <row r="45" ht="12.75" customHeight="1"/>
    <row r="46" ht="12.75" customHeight="1"/>
  </sheetData>
  <sheetProtection/>
  <mergeCells count="5">
    <mergeCell ref="B4:Z4"/>
    <mergeCell ref="B5:Z5"/>
    <mergeCell ref="B3:Z3"/>
    <mergeCell ref="B1:O1"/>
    <mergeCell ref="B2:Z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2021-02-04T13:00:45Z</cp:lastPrinted>
  <dcterms:created xsi:type="dcterms:W3CDTF">2011-06-16T11:06:26Z</dcterms:created>
  <dcterms:modified xsi:type="dcterms:W3CDTF">2021-02-18T10:47:57Z</dcterms:modified>
  <cp:category/>
  <cp:version/>
  <cp:contentType/>
  <cp:contentStatus/>
</cp:coreProperties>
</file>