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<sst xmlns="http://schemas.openxmlformats.org/spreadsheetml/2006/main" count="81" uniqueCount="81">
  <si>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</si>
  <si>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</si>
  <si>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</si>
  <si>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</si>
  <si>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</si>
  <si>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</si>
  <si>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</si>
  <si>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</si>
  <si>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</si>
  <si>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</si>
  <si>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</si>
  <si>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</si>
  <si>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</si>
  <si>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</si>
  <si>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</si>
  <si>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</si>
  <si>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</si>
  <si>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</si>
  <si>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</si>
  <si>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</si>
  <si>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</si>
  <si>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</si>
  <si>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</si>
  <si>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Задолженность на 01.05.2011г</t>
  </si>
  <si>
    <t>№</t>
  </si>
  <si>
    <t>1</t>
  </si>
  <si>
    <t>4</t>
  </si>
  <si>
    <t>4.1</t>
  </si>
  <si>
    <t>4.2</t>
  </si>
  <si>
    <t>4.3</t>
  </si>
  <si>
    <t>4.4</t>
  </si>
  <si>
    <t>4.5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</si>
  <si>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</si>
  <si>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</si>
  <si>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</si>
  <si>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</si>
  <si>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</si>
  <si>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</si>
  <si>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</si>
  <si>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</si>
  <si>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</si>
  <si>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</si>
  <si>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</si>
  <si>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</si>
  <si>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по жилому дому г. Унеча ул. Первомайская д.8</t>
  </si>
  <si>
    <t>Итого за 2011 г</t>
  </si>
  <si>
    <t>Проверка  дымовых каналов</t>
  </si>
  <si>
    <t>11</t>
  </si>
  <si>
    <t>Результат за месяц</t>
  </si>
  <si>
    <t>Исполнитель /Викторова Л.С./</t>
  </si>
  <si>
    <t>Финансовый результат по дому с начала года(по оплате)</t>
  </si>
  <si>
    <t>Фин результат по дому с начала деятельности(по оплате)</t>
  </si>
  <si>
    <t>Итого за 2012 г</t>
  </si>
  <si>
    <t>Благоустройство территории</t>
  </si>
  <si>
    <t xml:space="preserve">Материалы </t>
  </si>
  <si>
    <t>4.12</t>
  </si>
  <si>
    <t>4.15</t>
  </si>
  <si>
    <t>4.16</t>
  </si>
  <si>
    <t>Итого за 2013 г</t>
  </si>
  <si>
    <t>Фин.результат с начала деятельности</t>
  </si>
  <si>
    <t>Итого за 2014 г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</si>
  <si>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</si>
  <si>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</si>
  <si>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</si>
  <si>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</si>
  <si>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</si>
  <si>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</si>
  <si>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</si>
  <si>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</si>
  <si>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</si>
  <si>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Электроэнергия СОИД</t>
  </si>
  <si>
    <t>Холодная вода СОИД</t>
  </si>
  <si>
    <t>Канализация СОИД</t>
  </si>
  <si>
    <t>Итого за 2018 г</t>
  </si>
  <si>
    <t>Итого за 2019 г</t>
  </si>
  <si>
    <t>Дом по ул.Первомайская д.8 вступил в ООО "Наш дом" с февраля 2010 года             тариф 10,35 руб с января 2019 года тариф 9,6 руб.</t>
  </si>
  <si>
    <t>ООО "НД УНЕЧА"</t>
  </si>
  <si>
    <t>Итого за 2020 г</t>
  </si>
  <si>
    <t>Всего за 2010-2020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</si>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</sst>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0" fontId="26" fillId="0" borderId="32" xfId="0" applyFont="1" applyBorder="1" applyAlignment="1">
      <alignment wrapText="1"/>
    </xf>
    <xf numFmtId="2" fontId="20" fillId="0" borderId="40" xfId="0" applyNumberFormat="1" applyFont="1" applyBorder="1" applyAlignment="1">
      <alignment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32" xfId="0" applyFont="1" applyBorder="1" applyAlignment="1">
      <alignment/>
    </xf>
    <xf numFmtId="2" fontId="27" fillId="0" borderId="27" xfId="0" applyNumberFormat="1" applyFont="1" applyBorder="1" applyAlignment="1">
      <alignment/>
    </xf>
    <xf numFmtId="2" fontId="27" fillId="0" borderId="40" xfId="0" applyNumberFormat="1" applyFont="1" applyBorder="1" applyAlignment="1">
      <alignment/>
    </xf>
    <xf numFmtId="0" fontId="19" fillId="0" borderId="45" xfId="0" applyFont="1" applyBorder="1" applyAlignment="1">
      <alignment horizontal="center" vertical="center" wrapText="1"/>
    </xf>
    <xf numFmtId="2" fontId="21" fillId="0" borderId="45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35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7" xfId="0" applyNumberFormat="1" applyFont="1" applyBorder="1" applyAlignment="1">
      <alignment/>
    </xf>
    <xf numFmtId="0" fontId="22" fillId="0" borderId="0" xfId="0" applyFont="1" applyAlignment="1">
      <alignment/>
    </xf>
    <xf numFmtId="2" fontId="28" fillId="0" borderId="35" xfId="0" applyNumberFormat="1" applyFont="1" applyBorder="1" applyAlignment="1">
      <alignment/>
    </xf>
    <xf numFmtId="0" fontId="28" fillId="0" borderId="40" xfId="0" applyFont="1" applyBorder="1" applyAlignment="1">
      <alignment/>
    </xf>
    <xf numFmtId="0" fontId="24" fillId="0" borderId="38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0" fontId="21" fillId="0" borderId="46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8" fillId="0" borderId="35" xfId="0" applyFont="1" applyBorder="1" applyAlignment="1">
      <alignment wrapText="1"/>
    </xf>
    <xf numFmtId="2" fontId="28" fillId="0" borderId="23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B7">
      <selection activeCell="B29" sqref="B29:Y29"/>
    </sheetView>
  </sheetViews>
  <sheetFormatPr defaultColWidth="9.00390625" defaultRowHeight="12.75"/>
  <cols>
    <col min="1" max="1" width="3.875" style="26" hidden="1" customWidth="1"/>
    <col min="2" max="2" width="20.00390625" style="0" customWidth="1"/>
    <col min="3" max="3" width="7.75390625" style="0" hidden="1" customWidth="1"/>
    <col min="4" max="4" width="8.00390625" style="0" hidden="1" customWidth="1"/>
    <col min="5" max="5" width="10.625" style="0" hidden="1" customWidth="1"/>
    <col min="6" max="6" width="9.625" style="0" hidden="1" customWidth="1"/>
    <col min="7" max="7" width="10.125" style="0" hidden="1" customWidth="1"/>
    <col min="8" max="8" width="9.875" style="0" hidden="1" customWidth="1"/>
    <col min="9" max="9" width="10.625" style="0" hidden="1" customWidth="1"/>
    <col min="10" max="10" width="8.875" style="0" hidden="1" customWidth="1"/>
    <col min="11" max="11" width="9.125" style="0" hidden="1" customWidth="1"/>
    <col min="12" max="12" width="8.875" style="0" hidden="1" customWidth="1"/>
    <col min="13" max="13" width="9.00390625" style="0" customWidth="1"/>
    <col min="14" max="14" width="8.125" style="0" customWidth="1"/>
    <col min="15" max="15" width="8.75390625" style="0" customWidth="1"/>
    <col min="16" max="16" width="8.625" style="0" customWidth="1"/>
    <col min="17" max="17" width="8.75390625" style="0" customWidth="1"/>
    <col min="18" max="18" width="8.375" style="0" customWidth="1"/>
    <col min="19" max="19" width="8.75390625" style="0" customWidth="1"/>
    <col min="20" max="20" width="8.25390625" style="0" customWidth="1"/>
    <col min="21" max="21" width="8.75390625" style="0" customWidth="1"/>
    <col min="22" max="22" width="8.25390625" style="0" customWidth="1"/>
    <col min="23" max="25" width="8.625" style="0" customWidth="1"/>
    <col min="26" max="26" width="10.375" style="0" hidden="1" customWidth="1"/>
  </cols>
  <sheetData>
    <row r="1" spans="2:31" ht="12.75" customHeight="1">
      <c r="B1" s="99" t="s">
        <v>76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9" t="s">
        <v>75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100"/>
      <c r="Z2" s="4"/>
      <c r="AA2" s="4"/>
      <c r="AB2" s="4"/>
      <c r="AC2" s="4"/>
      <c r="AD2" s="4"/>
      <c r="AE2" s="4"/>
    </row>
    <row r="3" spans="2:31" ht="12.75" customHeight="1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3"/>
      <c r="AB3" s="3"/>
      <c r="AC3" s="3"/>
      <c r="AD3" s="3"/>
      <c r="AE3" s="3"/>
    </row>
    <row r="4" spans="2:31" ht="12" customHeight="1">
      <c r="B4" s="97" t="s">
        <v>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2"/>
      <c r="AC4" s="2"/>
      <c r="AD4" s="2"/>
      <c r="AE4" s="2"/>
    </row>
    <row r="5" spans="2:31" ht="12" customHeight="1" thickBot="1">
      <c r="B5" s="97" t="s">
        <v>44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2"/>
      <c r="AB5" s="2"/>
      <c r="AC5" s="2"/>
      <c r="AD5" s="2"/>
      <c r="AE5" s="2"/>
    </row>
    <row r="6" spans="2:31" ht="0.7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0.75" customHeight="1" thickBot="1">
      <c r="A7" s="35" t="s">
        <v>24</v>
      </c>
      <c r="B7" s="27" t="s">
        <v>6</v>
      </c>
      <c r="C7" s="38" t="s">
        <v>42</v>
      </c>
      <c r="D7" s="50" t="s">
        <v>45</v>
      </c>
      <c r="E7" s="50" t="s">
        <v>52</v>
      </c>
      <c r="F7" s="50" t="s">
        <v>58</v>
      </c>
      <c r="G7" s="76" t="s">
        <v>60</v>
      </c>
      <c r="H7" s="50" t="s">
        <v>62</v>
      </c>
      <c r="I7" s="50" t="s">
        <v>67</v>
      </c>
      <c r="J7" s="50" t="s">
        <v>68</v>
      </c>
      <c r="K7" s="50" t="s">
        <v>73</v>
      </c>
      <c r="L7" s="50" t="s">
        <v>74</v>
      </c>
      <c r="M7" s="6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5" t="s">
        <v>20</v>
      </c>
      <c r="Y7" s="50" t="s">
        <v>77</v>
      </c>
      <c r="Z7" s="45" t="s">
        <v>78</v>
      </c>
      <c r="AA7" s="1"/>
      <c r="AB7" s="1"/>
      <c r="AC7" s="1"/>
      <c r="AD7" s="1"/>
      <c r="AE7" s="1"/>
    </row>
    <row r="8" spans="1:26" ht="13.5" thickBot="1">
      <c r="A8" s="36" t="s">
        <v>25</v>
      </c>
      <c r="B8" s="28" t="s">
        <v>1</v>
      </c>
      <c r="C8" s="58">
        <v>393571.4</v>
      </c>
      <c r="D8" s="62">
        <v>475714.08</v>
      </c>
      <c r="E8" s="58">
        <v>484700.63</v>
      </c>
      <c r="F8" s="58">
        <v>484887.98</v>
      </c>
      <c r="G8" s="62">
        <v>484916.87</v>
      </c>
      <c r="H8" s="58">
        <v>484955.09</v>
      </c>
      <c r="I8" s="58">
        <v>485029.63</v>
      </c>
      <c r="J8" s="58">
        <v>485211.7</v>
      </c>
      <c r="K8" s="58">
        <v>485375.2</v>
      </c>
      <c r="L8" s="58">
        <v>450081.6</v>
      </c>
      <c r="M8" s="7">
        <v>37502.4</v>
      </c>
      <c r="N8" s="7">
        <v>37502.4</v>
      </c>
      <c r="O8" s="7">
        <v>37502.4</v>
      </c>
      <c r="P8" s="7">
        <v>37502.4</v>
      </c>
      <c r="Q8" s="7">
        <v>37502.4</v>
      </c>
      <c r="R8" s="7">
        <v>37502.4</v>
      </c>
      <c r="S8" s="7">
        <v>37502.4</v>
      </c>
      <c r="T8" s="7">
        <v>37502.4</v>
      </c>
      <c r="U8" s="7">
        <v>37502.4</v>
      </c>
      <c r="V8" s="7">
        <v>37502.4</v>
      </c>
      <c r="W8" s="7">
        <v>37502.4</v>
      </c>
      <c r="X8" s="7">
        <v>39065</v>
      </c>
      <c r="Y8" s="51">
        <f>SUM(M8:X8)</f>
        <v>451591.4000000001</v>
      </c>
      <c r="Z8" s="73">
        <f>SUM(C8:X8)</f>
        <v>5166035.580000004</v>
      </c>
    </row>
    <row r="9" spans="1:26" ht="12.75" customHeight="1" thickBot="1">
      <c r="A9" s="36"/>
      <c r="B9" s="28" t="s">
        <v>69</v>
      </c>
      <c r="C9" s="80"/>
      <c r="D9" s="62"/>
      <c r="E9" s="80"/>
      <c r="F9" s="80"/>
      <c r="G9" s="62"/>
      <c r="H9" s="80"/>
      <c r="I9" s="80"/>
      <c r="J9" s="80">
        <v>32257.78</v>
      </c>
      <c r="K9" s="80">
        <v>20517.15</v>
      </c>
      <c r="L9" s="80">
        <v>5941.54</v>
      </c>
      <c r="M9" s="7">
        <f aca="true" t="shared" si="0" ref="M9:R9">259.3+250.87</f>
        <v>510.17</v>
      </c>
      <c r="N9" s="7">
        <f t="shared" si="0"/>
        <v>510.17</v>
      </c>
      <c r="O9" s="7">
        <f t="shared" si="0"/>
        <v>510.17</v>
      </c>
      <c r="P9" s="7">
        <f t="shared" si="0"/>
        <v>510.17</v>
      </c>
      <c r="Q9" s="7">
        <f t="shared" si="0"/>
        <v>510.17</v>
      </c>
      <c r="R9" s="7">
        <f t="shared" si="0"/>
        <v>510.17</v>
      </c>
      <c r="S9" s="8">
        <f aca="true" t="shared" si="1" ref="S9:X9">269.95+251.58</f>
        <v>521.53</v>
      </c>
      <c r="T9" s="8">
        <f t="shared" si="1"/>
        <v>521.53</v>
      </c>
      <c r="U9" s="8">
        <f t="shared" si="1"/>
        <v>521.53</v>
      </c>
      <c r="V9" s="8">
        <f t="shared" si="1"/>
        <v>521.53</v>
      </c>
      <c r="W9" s="8">
        <f t="shared" si="1"/>
        <v>521.53</v>
      </c>
      <c r="X9" s="8">
        <f t="shared" si="1"/>
        <v>521.53</v>
      </c>
      <c r="Y9" s="51">
        <f>SUM(M9:X9)</f>
        <v>6190.199999999999</v>
      </c>
      <c r="Z9" s="73">
        <f>SUM(C9:X9)</f>
        <v>64906.669999999984</v>
      </c>
    </row>
    <row r="10" spans="1:26" ht="12.75" customHeight="1" thickBot="1">
      <c r="A10" s="36"/>
      <c r="B10" s="92" t="s">
        <v>79</v>
      </c>
      <c r="C10" s="93"/>
      <c r="D10" s="94"/>
      <c r="E10" s="93"/>
      <c r="F10" s="93"/>
      <c r="G10" s="95"/>
      <c r="H10" s="93"/>
      <c r="I10" s="93"/>
      <c r="J10" s="93"/>
      <c r="K10" s="93"/>
      <c r="L10" s="93"/>
      <c r="M10" s="96">
        <v>400</v>
      </c>
      <c r="N10" s="96">
        <v>400</v>
      </c>
      <c r="O10" s="96">
        <v>400</v>
      </c>
      <c r="P10" s="96">
        <v>400</v>
      </c>
      <c r="Q10" s="96">
        <v>400</v>
      </c>
      <c r="R10" s="96">
        <v>400</v>
      </c>
      <c r="S10" s="96">
        <v>400</v>
      </c>
      <c r="T10" s="96">
        <v>400</v>
      </c>
      <c r="U10" s="96">
        <v>400</v>
      </c>
      <c r="V10" s="96">
        <v>400</v>
      </c>
      <c r="W10" s="96">
        <v>400</v>
      </c>
      <c r="X10" s="96">
        <v>400</v>
      </c>
      <c r="Y10" s="51">
        <f>SUM(M10:X10)</f>
        <v>4800</v>
      </c>
      <c r="Z10" s="73">
        <f>SUM(C10:X10)</f>
        <v>4800</v>
      </c>
    </row>
    <row r="11" spans="1:26" s="89" customFormat="1" ht="13.5" thickBot="1">
      <c r="A11" s="82" t="s">
        <v>26</v>
      </c>
      <c r="B11" s="83" t="s">
        <v>2</v>
      </c>
      <c r="C11" s="84">
        <f aca="true" t="shared" si="2" ref="C11:M11">SUM(C12:C26)</f>
        <v>342862.86</v>
      </c>
      <c r="D11" s="85">
        <f t="shared" si="2"/>
        <v>475617.45</v>
      </c>
      <c r="E11" s="84">
        <f t="shared" si="2"/>
        <v>475663.21</v>
      </c>
      <c r="F11" s="84">
        <f t="shared" si="2"/>
        <v>408690.02999999997</v>
      </c>
      <c r="G11" s="86">
        <f t="shared" si="2"/>
        <v>453749.72000000003</v>
      </c>
      <c r="H11" s="84">
        <f>SUM(H12:H26)</f>
        <v>483119.24</v>
      </c>
      <c r="I11" s="84">
        <f>SUM(I12:I26)</f>
        <v>471468.5</v>
      </c>
      <c r="J11" s="84">
        <f>SUM(J12:J26)</f>
        <v>466371.75</v>
      </c>
      <c r="K11" s="84">
        <f t="shared" si="2"/>
        <v>525455.27</v>
      </c>
      <c r="L11" s="84">
        <f t="shared" si="2"/>
        <v>404383.89</v>
      </c>
      <c r="M11" s="87">
        <f t="shared" si="2"/>
        <v>31201.160000000003</v>
      </c>
      <c r="N11" s="87">
        <f aca="true" t="shared" si="3" ref="N11:X11">SUM(N12:N26)</f>
        <v>29050.69</v>
      </c>
      <c r="O11" s="87">
        <f t="shared" si="3"/>
        <v>30090.359999999997</v>
      </c>
      <c r="P11" s="87">
        <f t="shared" si="3"/>
        <v>30932.81</v>
      </c>
      <c r="Q11" s="87">
        <f t="shared" si="3"/>
        <v>30402.01</v>
      </c>
      <c r="R11" s="87">
        <f t="shared" si="3"/>
        <v>29693.65</v>
      </c>
      <c r="S11" s="87">
        <f t="shared" si="3"/>
        <v>32736.83</v>
      </c>
      <c r="T11" s="87">
        <f t="shared" si="3"/>
        <v>32832.53</v>
      </c>
      <c r="U11" s="87">
        <f t="shared" si="3"/>
        <v>49411.94</v>
      </c>
      <c r="V11" s="87">
        <f t="shared" si="3"/>
        <v>45789.51</v>
      </c>
      <c r="W11" s="87">
        <f t="shared" si="3"/>
        <v>37501.67</v>
      </c>
      <c r="X11" s="85">
        <f t="shared" si="3"/>
        <v>38813.36</v>
      </c>
      <c r="Y11" s="84">
        <f>SUM(M11:X11)</f>
        <v>418456.51999999996</v>
      </c>
      <c r="Z11" s="88">
        <f>SUM(C11:X11)</f>
        <v>4925838.440000001</v>
      </c>
    </row>
    <row r="12" spans="1:26" ht="13.5" thickBot="1">
      <c r="A12" s="36" t="s">
        <v>27</v>
      </c>
      <c r="B12" s="30" t="s">
        <v>80</v>
      </c>
      <c r="C12" s="42">
        <v>73069.34</v>
      </c>
      <c r="D12" s="63">
        <v>87856.45</v>
      </c>
      <c r="E12" s="42">
        <v>97001.74</v>
      </c>
      <c r="F12" s="42">
        <v>112702.24</v>
      </c>
      <c r="G12" s="63">
        <v>116878.02</v>
      </c>
      <c r="H12" s="42">
        <v>105516.04</v>
      </c>
      <c r="I12" s="42">
        <v>106845.7</v>
      </c>
      <c r="J12" s="42">
        <v>103071.13</v>
      </c>
      <c r="K12" s="42">
        <v>103196.59</v>
      </c>
      <c r="L12" s="42">
        <v>1027.92</v>
      </c>
      <c r="M12" s="7"/>
      <c r="N12" s="8">
        <v>67.25</v>
      </c>
      <c r="O12" s="8">
        <v>78.22</v>
      </c>
      <c r="P12" s="8">
        <v>87.69</v>
      </c>
      <c r="Q12" s="8">
        <v>140.44</v>
      </c>
      <c r="R12" s="8">
        <v>105.22</v>
      </c>
      <c r="S12" s="8">
        <v>161.9</v>
      </c>
      <c r="T12" s="8">
        <v>167.6</v>
      </c>
      <c r="U12" s="8">
        <v>400.36</v>
      </c>
      <c r="V12" s="8">
        <v>170.63</v>
      </c>
      <c r="W12" s="8">
        <v>12.78</v>
      </c>
      <c r="X12" s="16">
        <v>16.88</v>
      </c>
      <c r="Y12" s="52">
        <f aca="true" t="shared" si="4" ref="Y12:Y28">SUM(M12:X12)</f>
        <v>1408.97</v>
      </c>
      <c r="Z12" s="74">
        <f aca="true" t="shared" si="5" ref="Z12:Z26">SUM(C12:X12)</f>
        <v>908574.1399999998</v>
      </c>
    </row>
    <row r="13" spans="1:26" ht="12.75" customHeight="1" thickBot="1">
      <c r="A13" s="36" t="s">
        <v>28</v>
      </c>
      <c r="B13" s="31" t="s">
        <v>63</v>
      </c>
      <c r="C13" s="43">
        <v>93722.91</v>
      </c>
      <c r="D13" s="64">
        <v>39281.58</v>
      </c>
      <c r="E13" s="43">
        <f>6220.8+5257.1</f>
        <v>11477.900000000001</v>
      </c>
      <c r="F13" s="43">
        <v>3818.28</v>
      </c>
      <c r="G13" s="64">
        <v>21752.82</v>
      </c>
      <c r="H13" s="43">
        <v>7874.77</v>
      </c>
      <c r="I13" s="43">
        <v>4283.65</v>
      </c>
      <c r="J13" s="43">
        <v>2933.65</v>
      </c>
      <c r="K13" s="43">
        <f>18457.91+4897</f>
        <v>23354.91</v>
      </c>
      <c r="L13" s="43">
        <v>33400</v>
      </c>
      <c r="M13" s="9"/>
      <c r="N13" s="10"/>
      <c r="O13" s="10"/>
      <c r="P13" s="10"/>
      <c r="Q13" s="10"/>
      <c r="R13" s="10"/>
      <c r="S13" s="10"/>
      <c r="T13" s="10"/>
      <c r="U13" s="10"/>
      <c r="V13" s="10">
        <f>1500+4200</f>
        <v>5700</v>
      </c>
      <c r="W13" s="10"/>
      <c r="X13" s="17"/>
      <c r="Y13" s="52">
        <f t="shared" si="4"/>
        <v>5700</v>
      </c>
      <c r="Z13" s="74">
        <f t="shared" si="5"/>
        <v>247600.46999999997</v>
      </c>
    </row>
    <row r="14" spans="1:26" ht="23.25" customHeight="1" thickBot="1">
      <c r="A14" s="36" t="s">
        <v>29</v>
      </c>
      <c r="B14" s="29" t="s">
        <v>4</v>
      </c>
      <c r="C14" s="43">
        <v>0</v>
      </c>
      <c r="D14" s="64">
        <v>10501.47</v>
      </c>
      <c r="E14" s="43">
        <v>0</v>
      </c>
      <c r="F14" s="43">
        <v>0</v>
      </c>
      <c r="G14" s="64"/>
      <c r="H14" s="43">
        <v>12619.9</v>
      </c>
      <c r="I14" s="43">
        <v>0</v>
      </c>
      <c r="J14" s="43">
        <v>0</v>
      </c>
      <c r="K14" s="43">
        <v>12301.03</v>
      </c>
      <c r="L14" s="43">
        <v>12196.2</v>
      </c>
      <c r="M14" s="9"/>
      <c r="N14" s="10"/>
      <c r="O14" s="10"/>
      <c r="P14" s="10"/>
      <c r="Q14" s="10"/>
      <c r="R14" s="10"/>
      <c r="S14" s="10"/>
      <c r="T14" s="10"/>
      <c r="U14" s="10">
        <v>12732.4</v>
      </c>
      <c r="V14" s="10"/>
      <c r="W14" s="10"/>
      <c r="X14" s="17"/>
      <c r="Y14" s="52">
        <f t="shared" si="4"/>
        <v>12732.4</v>
      </c>
      <c r="Z14" s="74">
        <f t="shared" si="5"/>
        <v>60351.00000000001</v>
      </c>
    </row>
    <row r="15" spans="1:26" ht="20.25" customHeight="1" thickBot="1">
      <c r="A15" s="36" t="s">
        <v>30</v>
      </c>
      <c r="B15" s="29" t="s">
        <v>46</v>
      </c>
      <c r="C15" s="43">
        <v>0</v>
      </c>
      <c r="D15" s="64">
        <v>4891.72</v>
      </c>
      <c r="E15" s="43">
        <v>0</v>
      </c>
      <c r="F15" s="43">
        <v>0</v>
      </c>
      <c r="G15" s="64"/>
      <c r="H15" s="43">
        <v>2900</v>
      </c>
      <c r="I15" s="43">
        <v>3200</v>
      </c>
      <c r="J15" s="43">
        <v>0</v>
      </c>
      <c r="K15" s="43">
        <v>4500</v>
      </c>
      <c r="L15" s="43">
        <v>5000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7"/>
      <c r="Y15" s="52">
        <f t="shared" si="4"/>
        <v>0</v>
      </c>
      <c r="Z15" s="74">
        <f t="shared" si="5"/>
        <v>20491.72</v>
      </c>
    </row>
    <row r="16" spans="1:26" ht="15.75" customHeight="1" thickBot="1">
      <c r="A16" s="36" t="s">
        <v>31</v>
      </c>
      <c r="B16" s="31" t="s">
        <v>54</v>
      </c>
      <c r="C16" s="43">
        <v>46897.88</v>
      </c>
      <c r="D16" s="64">
        <v>77961.06</v>
      </c>
      <c r="E16" s="43">
        <v>99557.79</v>
      </c>
      <c r="F16" s="43">
        <v>13726.9</v>
      </c>
      <c r="G16" s="64">
        <v>15279.7</v>
      </c>
      <c r="H16" s="43">
        <v>37238.84</v>
      </c>
      <c r="I16" s="43">
        <v>41047.85</v>
      </c>
      <c r="J16" s="43">
        <f>17321.12+3644.9</f>
        <v>20966.02</v>
      </c>
      <c r="K16" s="43">
        <v>37038.22</v>
      </c>
      <c r="L16" s="43">
        <v>8683.06</v>
      </c>
      <c r="M16" s="9"/>
      <c r="N16" s="10">
        <v>90</v>
      </c>
      <c r="O16" s="10"/>
      <c r="P16" s="10">
        <v>1708</v>
      </c>
      <c r="Q16" s="10">
        <f>498+250</f>
        <v>748</v>
      </c>
      <c r="R16" s="10">
        <v>250.65</v>
      </c>
      <c r="S16" s="10"/>
      <c r="T16" s="10">
        <v>90</v>
      </c>
      <c r="U16" s="10">
        <v>1784.53</v>
      </c>
      <c r="V16" s="10">
        <f>787.5+450</f>
        <v>1237.5</v>
      </c>
      <c r="W16" s="10">
        <v>493.2</v>
      </c>
      <c r="X16" s="17">
        <v>300</v>
      </c>
      <c r="Y16" s="52">
        <f t="shared" si="4"/>
        <v>6701.88</v>
      </c>
      <c r="Z16" s="74">
        <f t="shared" si="5"/>
        <v>405099.20000000007</v>
      </c>
    </row>
    <row r="17" spans="1:26" ht="24.75" customHeight="1" thickBot="1">
      <c r="A17" s="36" t="s">
        <v>32</v>
      </c>
      <c r="B17" s="31" t="s">
        <v>53</v>
      </c>
      <c r="C17" s="43">
        <v>0</v>
      </c>
      <c r="D17" s="64">
        <v>0</v>
      </c>
      <c r="E17" s="43">
        <v>256</v>
      </c>
      <c r="F17" s="43">
        <v>0</v>
      </c>
      <c r="G17" s="64">
        <v>19991.86</v>
      </c>
      <c r="H17" s="43">
        <v>1800</v>
      </c>
      <c r="I17" s="43">
        <v>2835.61</v>
      </c>
      <c r="J17" s="43">
        <v>566.51</v>
      </c>
      <c r="K17" s="43">
        <v>92</v>
      </c>
      <c r="L17" s="43">
        <v>1314.67</v>
      </c>
      <c r="M17" s="9">
        <v>80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7"/>
      <c r="Y17" s="52">
        <f t="shared" si="4"/>
        <v>80</v>
      </c>
      <c r="Z17" s="74">
        <f t="shared" si="5"/>
        <v>26936.65</v>
      </c>
    </row>
    <row r="18" spans="1:26" ht="12" customHeight="1" thickBot="1">
      <c r="A18" s="36" t="s">
        <v>33</v>
      </c>
      <c r="B18" s="31" t="s">
        <v>70</v>
      </c>
      <c r="C18" s="43">
        <v>11457.31</v>
      </c>
      <c r="D18" s="64">
        <v>15432.92</v>
      </c>
      <c r="E18" s="43">
        <v>8282.56</v>
      </c>
      <c r="F18" s="43">
        <v>0</v>
      </c>
      <c r="G18" s="64"/>
      <c r="H18" s="43">
        <v>0</v>
      </c>
      <c r="I18" s="43">
        <v>0</v>
      </c>
      <c r="J18" s="43">
        <v>28283.76</v>
      </c>
      <c r="K18" s="43">
        <v>14777.3</v>
      </c>
      <c r="L18" s="43">
        <v>0</v>
      </c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7"/>
      <c r="Y18" s="52">
        <f t="shared" si="4"/>
        <v>0</v>
      </c>
      <c r="Z18" s="74">
        <f t="shared" si="5"/>
        <v>78233.85</v>
      </c>
    </row>
    <row r="19" spans="1:26" ht="12" customHeight="1" thickBot="1">
      <c r="A19" s="36"/>
      <c r="B19" s="31" t="s">
        <v>71</v>
      </c>
      <c r="C19" s="43"/>
      <c r="D19" s="64"/>
      <c r="E19" s="43"/>
      <c r="F19" s="43"/>
      <c r="G19" s="64"/>
      <c r="H19" s="43"/>
      <c r="I19" s="43"/>
      <c r="J19" s="43">
        <v>2416.26</v>
      </c>
      <c r="K19" s="43">
        <v>3046.56</v>
      </c>
      <c r="L19" s="43">
        <v>3083.94</v>
      </c>
      <c r="M19" s="9">
        <v>259.33</v>
      </c>
      <c r="N19" s="9">
        <v>259.33</v>
      </c>
      <c r="O19" s="9">
        <v>259.33</v>
      </c>
      <c r="P19" s="9">
        <v>259.33</v>
      </c>
      <c r="Q19" s="9">
        <v>259.33</v>
      </c>
      <c r="R19" s="9">
        <v>259.33</v>
      </c>
      <c r="S19" s="9">
        <v>269.87</v>
      </c>
      <c r="T19" s="9">
        <v>269.87</v>
      </c>
      <c r="U19" s="9">
        <v>269.87</v>
      </c>
      <c r="V19" s="9">
        <v>269.87</v>
      </c>
      <c r="W19" s="9">
        <v>269.87</v>
      </c>
      <c r="X19" s="9">
        <v>269.87</v>
      </c>
      <c r="Y19" s="52">
        <f>SUM(M19:X19)</f>
        <v>3175.1999999999994</v>
      </c>
      <c r="Z19" s="74">
        <f>SUM(C19:X19)</f>
        <v>11721.960000000005</v>
      </c>
    </row>
    <row r="20" spans="1:26" ht="12" customHeight="1" thickBot="1">
      <c r="A20" s="36"/>
      <c r="B20" s="31" t="s">
        <v>72</v>
      </c>
      <c r="C20" s="43"/>
      <c r="D20" s="64"/>
      <c r="E20" s="43"/>
      <c r="F20" s="43"/>
      <c r="G20" s="64"/>
      <c r="H20" s="43"/>
      <c r="I20" s="43"/>
      <c r="J20" s="43">
        <v>1559.37</v>
      </c>
      <c r="K20" s="43">
        <v>2693.7</v>
      </c>
      <c r="L20" s="43">
        <v>2832.16</v>
      </c>
      <c r="M20" s="9">
        <v>250.83</v>
      </c>
      <c r="N20" s="9">
        <v>250.83</v>
      </c>
      <c r="O20" s="9">
        <v>250.83</v>
      </c>
      <c r="P20" s="9">
        <v>250.83</v>
      </c>
      <c r="Q20" s="9">
        <v>250.83</v>
      </c>
      <c r="R20" s="9">
        <v>250.83</v>
      </c>
      <c r="S20" s="9">
        <v>251.55</v>
      </c>
      <c r="T20" s="9">
        <v>251.55</v>
      </c>
      <c r="U20" s="9">
        <v>251.55</v>
      </c>
      <c r="V20" s="9">
        <v>251.55</v>
      </c>
      <c r="W20" s="9">
        <v>251.55</v>
      </c>
      <c r="X20" s="9">
        <v>251.55</v>
      </c>
      <c r="Y20" s="52">
        <f>SUM(M20:X20)</f>
        <v>3014.2800000000007</v>
      </c>
      <c r="Z20" s="74">
        <f>SUM(C20:X20)</f>
        <v>10099.509999999995</v>
      </c>
    </row>
    <row r="21" spans="1:26" ht="13.5" customHeight="1" thickBot="1">
      <c r="A21" s="36" t="s">
        <v>34</v>
      </c>
      <c r="B21" s="31" t="s">
        <v>5</v>
      </c>
      <c r="C21" s="43">
        <v>1407.55</v>
      </c>
      <c r="D21" s="64">
        <v>6389.12</v>
      </c>
      <c r="E21" s="43">
        <v>817.47</v>
      </c>
      <c r="F21" s="43">
        <v>890.24</v>
      </c>
      <c r="G21" s="64">
        <v>937.95</v>
      </c>
      <c r="H21" s="43">
        <v>798.27</v>
      </c>
      <c r="I21" s="43">
        <v>703.39</v>
      </c>
      <c r="J21" s="43">
        <v>1229.11</v>
      </c>
      <c r="K21" s="43">
        <v>977.3</v>
      </c>
      <c r="L21" s="43">
        <v>1332.02</v>
      </c>
      <c r="M21" s="9"/>
      <c r="N21" s="10"/>
      <c r="O21" s="10">
        <v>349.36</v>
      </c>
      <c r="P21" s="10"/>
      <c r="Q21" s="10"/>
      <c r="R21" s="10"/>
      <c r="S21" s="10"/>
      <c r="T21" s="10"/>
      <c r="U21" s="10">
        <v>340.37</v>
      </c>
      <c r="V21" s="10"/>
      <c r="W21" s="10"/>
      <c r="X21" s="17">
        <v>286.6</v>
      </c>
      <c r="Y21" s="52">
        <f t="shared" si="4"/>
        <v>976.33</v>
      </c>
      <c r="Z21" s="74">
        <f t="shared" si="5"/>
        <v>16458.75</v>
      </c>
    </row>
    <row r="22" spans="1:26" ht="31.5" customHeight="1" thickBot="1">
      <c r="A22" s="36" t="s">
        <v>35</v>
      </c>
      <c r="B22" s="31" t="s">
        <v>64</v>
      </c>
      <c r="C22" s="43">
        <v>5308.34</v>
      </c>
      <c r="D22" s="64">
        <v>18949.24</v>
      </c>
      <c r="E22" s="43">
        <v>23891.47</v>
      </c>
      <c r="F22" s="43">
        <v>22278.5</v>
      </c>
      <c r="G22" s="64">
        <v>15909.3</v>
      </c>
      <c r="H22" s="43">
        <v>18765.34</v>
      </c>
      <c r="I22" s="43">
        <v>19846.82</v>
      </c>
      <c r="J22" s="43">
        <v>20171.51</v>
      </c>
      <c r="K22" s="43">
        <v>21204.59</v>
      </c>
      <c r="L22" s="43">
        <v>17160.98</v>
      </c>
      <c r="M22" s="9">
        <v>1260.16</v>
      </c>
      <c r="N22" s="10">
        <v>1129.64</v>
      </c>
      <c r="O22" s="10">
        <v>1404.42</v>
      </c>
      <c r="P22" s="10">
        <v>1097.92</v>
      </c>
      <c r="Q22" s="10">
        <v>1136.01</v>
      </c>
      <c r="R22" s="10">
        <v>1146.64</v>
      </c>
      <c r="S22" s="10">
        <v>1326.17</v>
      </c>
      <c r="T22" s="10">
        <v>1652.72</v>
      </c>
      <c r="U22" s="10">
        <v>1585.92</v>
      </c>
      <c r="V22" s="10">
        <v>1843.31</v>
      </c>
      <c r="W22" s="10">
        <v>1714.35</v>
      </c>
      <c r="X22" s="17">
        <v>1564.94</v>
      </c>
      <c r="Y22" s="52">
        <f t="shared" si="4"/>
        <v>16862.2</v>
      </c>
      <c r="Z22" s="74">
        <f t="shared" si="5"/>
        <v>200348.29000000012</v>
      </c>
    </row>
    <row r="23" spans="1:26" ht="27" customHeight="1" thickBot="1">
      <c r="A23" s="36" t="s">
        <v>36</v>
      </c>
      <c r="B23" s="31" t="s">
        <v>65</v>
      </c>
      <c r="C23" s="43">
        <v>9382.63</v>
      </c>
      <c r="D23" s="64">
        <v>10314.14</v>
      </c>
      <c r="E23" s="43">
        <v>3017.68</v>
      </c>
      <c r="F23" s="43">
        <v>2200.49</v>
      </c>
      <c r="G23" s="64">
        <v>4786.17</v>
      </c>
      <c r="H23" s="43">
        <v>3234.03</v>
      </c>
      <c r="I23" s="43">
        <v>2823.47</v>
      </c>
      <c r="J23" s="43">
        <v>2206.35</v>
      </c>
      <c r="K23" s="43">
        <v>2139.03</v>
      </c>
      <c r="L23" s="43">
        <v>1943.23</v>
      </c>
      <c r="M23" s="9">
        <v>72.36</v>
      </c>
      <c r="N23" s="10">
        <v>102.54</v>
      </c>
      <c r="O23" s="10">
        <v>98.23</v>
      </c>
      <c r="P23" s="10">
        <v>98.14</v>
      </c>
      <c r="Q23" s="10">
        <v>95.69</v>
      </c>
      <c r="R23" s="10">
        <v>83.62</v>
      </c>
      <c r="S23" s="10">
        <v>188.59</v>
      </c>
      <c r="T23" s="10">
        <v>97.87</v>
      </c>
      <c r="U23" s="10">
        <v>59.77</v>
      </c>
      <c r="V23" s="10">
        <v>180.53</v>
      </c>
      <c r="W23" s="10">
        <v>77.61</v>
      </c>
      <c r="X23" s="17">
        <v>211.4</v>
      </c>
      <c r="Y23" s="52">
        <f t="shared" si="4"/>
        <v>1366.35</v>
      </c>
      <c r="Z23" s="74">
        <f t="shared" si="5"/>
        <v>43413.57</v>
      </c>
    </row>
    <row r="24" spans="1:26" ht="38.25" customHeight="1" thickBot="1">
      <c r="A24" s="36" t="s">
        <v>55</v>
      </c>
      <c r="B24" s="31" t="s">
        <v>66</v>
      </c>
      <c r="C24" s="43">
        <v>3780.72</v>
      </c>
      <c r="D24" s="64">
        <v>17032.04</v>
      </c>
      <c r="E24" s="43">
        <v>15424.79</v>
      </c>
      <c r="F24" s="43">
        <v>21585.33</v>
      </c>
      <c r="G24" s="64">
        <v>18556.66</v>
      </c>
      <c r="H24" s="43">
        <v>24117.78</v>
      </c>
      <c r="I24" s="43">
        <v>20652.44</v>
      </c>
      <c r="J24" s="43">
        <v>21793.96</v>
      </c>
      <c r="K24" s="43">
        <v>23845.94</v>
      </c>
      <c r="L24" s="43">
        <v>25783.31</v>
      </c>
      <c r="M24" s="9">
        <f>51.47+678.02+1105.62</f>
        <v>1835.11</v>
      </c>
      <c r="N24" s="10">
        <f>53.4+796.48+1186.13</f>
        <v>2036.0100000000002</v>
      </c>
      <c r="O24" s="10">
        <f>50.93+718.51+1215.98</f>
        <v>1985.42</v>
      </c>
      <c r="P24" s="10">
        <f>63.23+845.17+1135.23</f>
        <v>2043.63</v>
      </c>
      <c r="Q24" s="10">
        <f>53.24+1056.19+1126.77</f>
        <v>2236.2</v>
      </c>
      <c r="R24" s="10">
        <f>51.68+891.55+1062.73</f>
        <v>2005.96</v>
      </c>
      <c r="S24" s="10">
        <f>55.86+727.61+1078.2</f>
        <v>1861.67</v>
      </c>
      <c r="T24" s="10">
        <f>1046.33+52.8+733.69</f>
        <v>1832.82</v>
      </c>
      <c r="U24" s="10">
        <f>945.75+1615.71</f>
        <v>2561.46</v>
      </c>
      <c r="V24" s="10">
        <f>55.62+1579.34+1572.44</f>
        <v>3207.3999999999996</v>
      </c>
      <c r="W24" s="10">
        <f>61.16+1268.38+1513.76</f>
        <v>2843.3</v>
      </c>
      <c r="X24" s="17">
        <f>69.02+1762.25+1388.92</f>
        <v>3220.19</v>
      </c>
      <c r="Y24" s="52">
        <f t="shared" si="4"/>
        <v>27669.17</v>
      </c>
      <c r="Z24" s="74">
        <f t="shared" si="5"/>
        <v>220242.14</v>
      </c>
    </row>
    <row r="25" spans="1:26" ht="15.75" customHeight="1" thickBot="1">
      <c r="A25" s="36" t="s">
        <v>56</v>
      </c>
      <c r="B25" s="31" t="s">
        <v>8</v>
      </c>
      <c r="C25" s="43">
        <v>84662.41</v>
      </c>
      <c r="D25" s="64">
        <v>160201.62</v>
      </c>
      <c r="E25" s="43">
        <v>196546.79</v>
      </c>
      <c r="F25" s="43">
        <v>213261.1</v>
      </c>
      <c r="G25" s="64">
        <v>218318.86</v>
      </c>
      <c r="H25" s="43">
        <v>248390.76</v>
      </c>
      <c r="I25" s="43">
        <v>249988.72</v>
      </c>
      <c r="J25" s="43">
        <v>241668.47</v>
      </c>
      <c r="K25" s="43">
        <v>256857.22</v>
      </c>
      <c r="L25" s="43">
        <v>272266.27</v>
      </c>
      <c r="M25" s="9">
        <f>31201.16-5196.9</f>
        <v>26004.260000000002</v>
      </c>
      <c r="N25" s="10">
        <f>29050.69-5353.22</f>
        <v>23697.469999999998</v>
      </c>
      <c r="O25" s="10">
        <f>30090.36-5919.75</f>
        <v>24170.61</v>
      </c>
      <c r="P25" s="10">
        <f>30932.81-7021.7</f>
        <v>23911.11</v>
      </c>
      <c r="Q25" s="10">
        <f>30402.01-6376.03</f>
        <v>24025.98</v>
      </c>
      <c r="R25" s="10">
        <f>29693.65-5585.17</f>
        <v>24108.480000000003</v>
      </c>
      <c r="S25" s="10">
        <f>32736.83-5556.44</f>
        <v>27180.390000000003</v>
      </c>
      <c r="T25" s="10">
        <f>32832.53-5825.05</f>
        <v>27007.48</v>
      </c>
      <c r="U25" s="10">
        <f>49411.94-21093.83-340.37</f>
        <v>27977.74</v>
      </c>
      <c r="V25" s="10">
        <f>45789.51-14328</f>
        <v>31461.510000000002</v>
      </c>
      <c r="W25" s="10">
        <f>37501.67-7177.49</f>
        <v>30324.18</v>
      </c>
      <c r="X25" s="17">
        <f>38813.36-7598.01</f>
        <v>31215.35</v>
      </c>
      <c r="Y25" s="52">
        <f t="shared" si="4"/>
        <v>321084.56</v>
      </c>
      <c r="Z25" s="74">
        <f t="shared" si="5"/>
        <v>2463246.78</v>
      </c>
    </row>
    <row r="26" spans="1:26" ht="13.5" customHeight="1" thickBot="1">
      <c r="A26" s="36" t="s">
        <v>57</v>
      </c>
      <c r="B26" s="32" t="s">
        <v>3</v>
      </c>
      <c r="C26" s="44">
        <v>13173.77</v>
      </c>
      <c r="D26" s="65">
        <v>26806.09</v>
      </c>
      <c r="E26" s="44">
        <v>19389.02</v>
      </c>
      <c r="F26" s="44">
        <v>18226.95</v>
      </c>
      <c r="G26" s="65">
        <v>21338.38</v>
      </c>
      <c r="H26" s="44">
        <v>19863.51</v>
      </c>
      <c r="I26" s="44">
        <v>19240.85</v>
      </c>
      <c r="J26" s="44">
        <v>19505.65</v>
      </c>
      <c r="K26" s="44">
        <v>19430.88</v>
      </c>
      <c r="L26" s="44">
        <v>18360.13</v>
      </c>
      <c r="M26" s="11">
        <f>27+20.79+1391.32</f>
        <v>1439.11</v>
      </c>
      <c r="N26" s="12">
        <f>34.7+19.58+1363.34</f>
        <v>1417.62</v>
      </c>
      <c r="O26" s="12">
        <f>20.05+1473.89</f>
        <v>1493.94</v>
      </c>
      <c r="P26" s="12">
        <f>80.4+18.66+1377.1</f>
        <v>1476.1599999999999</v>
      </c>
      <c r="Q26" s="12">
        <f>70.1+19.82+1419.61</f>
        <v>1509.53</v>
      </c>
      <c r="R26" s="12">
        <f>29.1+20.13+1433.69</f>
        <v>1482.92</v>
      </c>
      <c r="S26" s="12">
        <f>40.4+21.68+1434.61</f>
        <v>1496.6899999999998</v>
      </c>
      <c r="T26" s="12">
        <f>69.5+18.89+1374.23</f>
        <v>1462.6200000000001</v>
      </c>
      <c r="U26" s="12">
        <f>27.5+19.49+1400.98</f>
        <v>1447.97</v>
      </c>
      <c r="V26" s="12">
        <f>34.9+19.97+1412.34</f>
        <v>1467.2099999999998</v>
      </c>
      <c r="W26" s="12">
        <f>57.3+20.01+1437.52</f>
        <v>1514.83</v>
      </c>
      <c r="X26" s="19">
        <f>45.1+19.65+1411.83</f>
        <v>1476.58</v>
      </c>
      <c r="Y26" s="52">
        <f t="shared" si="4"/>
        <v>17685.18</v>
      </c>
      <c r="Z26" s="74">
        <f t="shared" si="5"/>
        <v>213020.40999999997</v>
      </c>
    </row>
    <row r="27" spans="1:26" ht="13.5" customHeight="1" thickBot="1">
      <c r="A27" s="36"/>
      <c r="B27" s="39" t="s">
        <v>61</v>
      </c>
      <c r="C27" s="67"/>
      <c r="D27" s="68"/>
      <c r="E27" s="67"/>
      <c r="F27" s="67"/>
      <c r="G27" s="77">
        <f>G8*5%</f>
        <v>24245.843500000003</v>
      </c>
      <c r="H27" s="70">
        <f>H8*5%</f>
        <v>24247.754500000003</v>
      </c>
      <c r="I27" s="70">
        <f>I8*5%</f>
        <v>24251.4815</v>
      </c>
      <c r="J27" s="81">
        <f>J8*5%</f>
        <v>24260.585000000003</v>
      </c>
      <c r="K27" s="81">
        <f>SUM(K8+K9)*5%</f>
        <v>25294.617500000004</v>
      </c>
      <c r="L27" s="81">
        <f>SUM(L8+L9)*5%</f>
        <v>22801.157</v>
      </c>
      <c r="M27" s="69">
        <f>SUM(M8+M9)*5%</f>
        <v>1900.6285</v>
      </c>
      <c r="N27" s="69">
        <f aca="true" t="shared" si="6" ref="N27:X27">SUM(N8+N9)*5%</f>
        <v>1900.6285</v>
      </c>
      <c r="O27" s="69">
        <f t="shared" si="6"/>
        <v>1900.6285</v>
      </c>
      <c r="P27" s="69">
        <f t="shared" si="6"/>
        <v>1900.6285</v>
      </c>
      <c r="Q27" s="69">
        <f t="shared" si="6"/>
        <v>1900.6285</v>
      </c>
      <c r="R27" s="69">
        <f t="shared" si="6"/>
        <v>1900.6285</v>
      </c>
      <c r="S27" s="69">
        <f t="shared" si="6"/>
        <v>1901.1965</v>
      </c>
      <c r="T27" s="69">
        <f t="shared" si="6"/>
        <v>1901.1965</v>
      </c>
      <c r="U27" s="69">
        <f t="shared" si="6"/>
        <v>1901.1965</v>
      </c>
      <c r="V27" s="69">
        <f t="shared" si="6"/>
        <v>1901.1965</v>
      </c>
      <c r="W27" s="69">
        <f t="shared" si="6"/>
        <v>1901.1965</v>
      </c>
      <c r="X27" s="69">
        <f t="shared" si="6"/>
        <v>1979.3265000000001</v>
      </c>
      <c r="Y27" s="70">
        <f t="shared" si="4"/>
        <v>22889.079999999998</v>
      </c>
      <c r="Z27" s="75"/>
    </row>
    <row r="28" spans="1:26" ht="14.25" customHeight="1" thickBot="1">
      <c r="A28" s="36" t="s">
        <v>37</v>
      </c>
      <c r="B28" s="56" t="s">
        <v>48</v>
      </c>
      <c r="C28" s="57"/>
      <c r="D28" s="66"/>
      <c r="E28" s="57"/>
      <c r="F28" s="57"/>
      <c r="G28" s="66"/>
      <c r="H28" s="57"/>
      <c r="I28" s="57"/>
      <c r="J28" s="79">
        <f>SUM(J8+J9-J11)-J27</f>
        <v>26837.14499999998</v>
      </c>
      <c r="K28" s="79">
        <f>SUM(K8+K9-K11)-K27</f>
        <v>-44857.53749999999</v>
      </c>
      <c r="L28" s="79">
        <f>SUM(L8+L9-L11)-L27</f>
        <v>28838.092999999943</v>
      </c>
      <c r="M28" s="71">
        <f>SUM(M8+M9+M10-M11)-M27</f>
        <v>5310.781499999996</v>
      </c>
      <c r="N28" s="71">
        <f aca="true" t="shared" si="7" ref="N28:X28">SUM(N8+N9+N10-N11)-N27</f>
        <v>7461.251500000001</v>
      </c>
      <c r="O28" s="71">
        <f t="shared" si="7"/>
        <v>6421.581500000003</v>
      </c>
      <c r="P28" s="71">
        <f t="shared" si="7"/>
        <v>5579.131499999999</v>
      </c>
      <c r="Q28" s="71">
        <f t="shared" si="7"/>
        <v>6109.9315000000015</v>
      </c>
      <c r="R28" s="71">
        <f t="shared" si="7"/>
        <v>6818.291499999998</v>
      </c>
      <c r="S28" s="71">
        <f t="shared" si="7"/>
        <v>3785.9034999999985</v>
      </c>
      <c r="T28" s="71">
        <f t="shared" si="7"/>
        <v>3690.2035000000014</v>
      </c>
      <c r="U28" s="71">
        <f t="shared" si="7"/>
        <v>-12889.206500000002</v>
      </c>
      <c r="V28" s="71">
        <f t="shared" si="7"/>
        <v>-9266.776500000002</v>
      </c>
      <c r="W28" s="71">
        <f t="shared" si="7"/>
        <v>-978.936499999998</v>
      </c>
      <c r="X28" s="71">
        <f t="shared" si="7"/>
        <v>-806.1565000000019</v>
      </c>
      <c r="Y28" s="70">
        <f t="shared" si="4"/>
        <v>21236.000000000004</v>
      </c>
      <c r="Z28" s="59"/>
    </row>
    <row r="29" spans="1:26" ht="27" customHeight="1" thickBot="1">
      <c r="A29" s="36" t="s">
        <v>38</v>
      </c>
      <c r="B29" s="101" t="s">
        <v>22</v>
      </c>
      <c r="C29" s="101">
        <v>50708</v>
      </c>
      <c r="D29" s="85">
        <f>SUM(D8-D11)</f>
        <v>96.63000000000466</v>
      </c>
      <c r="E29" s="84">
        <f>SUM(E8-E11)</f>
        <v>9037.419999999984</v>
      </c>
      <c r="F29" s="84">
        <f>SUM(F8-F11)</f>
        <v>76197.95000000001</v>
      </c>
      <c r="G29" s="102">
        <f>SUM(G8-G11)-G27</f>
        <v>6921.306499999962</v>
      </c>
      <c r="H29" s="90">
        <f>SUM(H8-H11)-H27</f>
        <v>-22411.904499999968</v>
      </c>
      <c r="I29" s="90">
        <f>SUM(I8-I11)-I27</f>
        <v>-10690.351499999997</v>
      </c>
      <c r="J29" s="90">
        <f>SUM(J8+J9-J11)-J27</f>
        <v>26837.14499999998</v>
      </c>
      <c r="K29" s="90">
        <f>SUM(K8+K9-K11)-K27</f>
        <v>-44857.53749999999</v>
      </c>
      <c r="L29" s="90">
        <f>SUM(L8+L9-L11)-L27</f>
        <v>28838.092999999943</v>
      </c>
      <c r="M29" s="103">
        <f>SUM(M8+M9+M10-M11)-M27</f>
        <v>5310.781499999996</v>
      </c>
      <c r="N29" s="104">
        <f>SUM(N28+M29)</f>
        <v>12772.032999999998</v>
      </c>
      <c r="O29" s="104">
        <f aca="true" t="shared" si="8" ref="O29:X29">SUM(O28+N29)</f>
        <v>19193.6145</v>
      </c>
      <c r="P29" s="104">
        <f t="shared" si="8"/>
        <v>24772.746</v>
      </c>
      <c r="Q29" s="104">
        <f t="shared" si="8"/>
        <v>30882.6775</v>
      </c>
      <c r="R29" s="104">
        <f t="shared" si="8"/>
        <v>37700.969</v>
      </c>
      <c r="S29" s="104">
        <f t="shared" si="8"/>
        <v>41486.8725</v>
      </c>
      <c r="T29" s="104">
        <f t="shared" si="8"/>
        <v>45177.076</v>
      </c>
      <c r="U29" s="104">
        <f t="shared" si="8"/>
        <v>32287.8695</v>
      </c>
      <c r="V29" s="104">
        <f t="shared" si="8"/>
        <v>23021.093</v>
      </c>
      <c r="W29" s="104">
        <f t="shared" si="8"/>
        <v>22042.156500000005</v>
      </c>
      <c r="X29" s="104">
        <f t="shared" si="8"/>
        <v>21236.000000000004</v>
      </c>
      <c r="Y29" s="84"/>
      <c r="Z29" s="91"/>
    </row>
    <row r="30" spans="1:26" ht="21.75" customHeight="1" hidden="1" thickBot="1">
      <c r="A30" s="36" t="s">
        <v>39</v>
      </c>
      <c r="B30" s="39" t="s">
        <v>59</v>
      </c>
      <c r="C30" s="39">
        <v>50708.53</v>
      </c>
      <c r="D30" s="18">
        <f>SUM(D8-D11,C30)</f>
        <v>50805.16</v>
      </c>
      <c r="E30" s="52">
        <f>SUM(E8-E11,D30)</f>
        <v>59842.57999999999</v>
      </c>
      <c r="F30" s="52">
        <f>SUM(F8-F11,E30)</f>
        <v>136040.53</v>
      </c>
      <c r="G30" s="78">
        <f aca="true" t="shared" si="9" ref="G30:M30">SUM(G29+F30)</f>
        <v>142961.83649999998</v>
      </c>
      <c r="H30" s="70">
        <f t="shared" si="9"/>
        <v>120549.932</v>
      </c>
      <c r="I30" s="70">
        <f t="shared" si="9"/>
        <v>109859.58050000001</v>
      </c>
      <c r="J30" s="70">
        <f t="shared" si="9"/>
        <v>136696.7255</v>
      </c>
      <c r="K30" s="70">
        <f t="shared" si="9"/>
        <v>91839.18800000001</v>
      </c>
      <c r="L30" s="70">
        <f t="shared" si="9"/>
        <v>120677.28099999996</v>
      </c>
      <c r="M30" s="70">
        <f t="shared" si="9"/>
        <v>125988.06249999996</v>
      </c>
      <c r="N30" s="72">
        <f>SUM(N28+M30)</f>
        <v>133449.31399999995</v>
      </c>
      <c r="O30" s="72">
        <f>SUM(O28+N30)</f>
        <v>139870.89549999996</v>
      </c>
      <c r="P30" s="72">
        <f aca="true" t="shared" si="10" ref="P30:W30">SUM(P28+O30)</f>
        <v>145450.02699999994</v>
      </c>
      <c r="Q30" s="72">
        <f t="shared" si="10"/>
        <v>151559.95849999995</v>
      </c>
      <c r="R30" s="72">
        <f t="shared" si="10"/>
        <v>158378.24999999994</v>
      </c>
      <c r="S30" s="72">
        <f t="shared" si="10"/>
        <v>162164.15349999993</v>
      </c>
      <c r="T30" s="72">
        <f t="shared" si="10"/>
        <v>165854.35699999993</v>
      </c>
      <c r="U30" s="72">
        <f t="shared" si="10"/>
        <v>152965.15049999993</v>
      </c>
      <c r="V30" s="72">
        <f t="shared" si="10"/>
        <v>143698.37399999992</v>
      </c>
      <c r="W30" s="72">
        <f t="shared" si="10"/>
        <v>142719.4374999999</v>
      </c>
      <c r="X30" s="72">
        <f>SUM(X28+W30)</f>
        <v>141913.2809999999</v>
      </c>
      <c r="Y30" s="52"/>
      <c r="Z30" s="46"/>
    </row>
    <row r="31" spans="1:26" ht="8.25" customHeight="1" hidden="1" thickBot="1">
      <c r="A31" s="36" t="s">
        <v>40</v>
      </c>
      <c r="B31" s="39" t="s">
        <v>7</v>
      </c>
      <c r="C31" s="40"/>
      <c r="D31" s="40"/>
      <c r="E31" s="60"/>
      <c r="F31" s="60"/>
      <c r="G31" s="60"/>
      <c r="H31" s="60"/>
      <c r="I31" s="60"/>
      <c r="J31" s="60"/>
      <c r="K31" s="60"/>
      <c r="L31" s="60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0"/>
      <c r="Y31" s="52"/>
      <c r="Z31" s="47"/>
    </row>
    <row r="32" spans="1:26" ht="15" customHeight="1" hidden="1" thickBot="1">
      <c r="A32" s="37" t="s">
        <v>41</v>
      </c>
      <c r="B32" s="33" t="s">
        <v>23</v>
      </c>
      <c r="C32" s="40"/>
      <c r="D32" s="40"/>
      <c r="E32" s="60"/>
      <c r="F32" s="60"/>
      <c r="G32" s="60"/>
      <c r="H32" s="60"/>
      <c r="I32" s="60"/>
      <c r="J32" s="60"/>
      <c r="K32" s="60"/>
      <c r="L32" s="60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0"/>
      <c r="Y32" s="53"/>
      <c r="Z32" s="48"/>
    </row>
    <row r="33" spans="1:26" ht="33" customHeight="1" hidden="1" thickBot="1">
      <c r="A33" s="37" t="s">
        <v>43</v>
      </c>
      <c r="B33" s="34" t="s">
        <v>50</v>
      </c>
      <c r="C33" s="41"/>
      <c r="D33" s="41"/>
      <c r="E33" s="61"/>
      <c r="F33" s="61"/>
      <c r="G33" s="61"/>
      <c r="H33" s="61"/>
      <c r="I33" s="61"/>
      <c r="J33" s="61"/>
      <c r="K33" s="61"/>
      <c r="L33" s="61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>
        <v>-22434</v>
      </c>
      <c r="Y33" s="54"/>
      <c r="Z33" s="49"/>
    </row>
    <row r="34" spans="1:26" ht="34.5" customHeight="1" hidden="1" thickBot="1">
      <c r="A34" s="55" t="s">
        <v>47</v>
      </c>
      <c r="B34" s="34" t="s">
        <v>51</v>
      </c>
      <c r="C34" s="41"/>
      <c r="D34" s="41"/>
      <c r="E34" s="61"/>
      <c r="F34" s="61"/>
      <c r="G34" s="61"/>
      <c r="H34" s="61"/>
      <c r="I34" s="61"/>
      <c r="J34" s="61"/>
      <c r="K34" s="61"/>
      <c r="L34" s="61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>
        <v>-36938.51</v>
      </c>
      <c r="Y34" s="54"/>
      <c r="Z34" s="49"/>
    </row>
    <row r="35" spans="3:26" ht="24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ht="12.75" hidden="1"/>
    <row r="37" ht="12.75" hidden="1"/>
    <row r="38" ht="12.75" hidden="1"/>
    <row r="39" ht="12.75">
      <c r="B39" t="s">
        <v>49</v>
      </c>
    </row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2021-02-04T12:51:36Z</cp:lastPrinted>
  <dcterms:created xsi:type="dcterms:W3CDTF">2011-06-16T11:06:26Z</dcterms:created>
  <dcterms:modified xsi:type="dcterms:W3CDTF">2021-02-18T10:46:41Z</dcterms:modified>
  <cp:category/>
  <cp:version/>
  <cp:contentType/>
  <cp:contentStatus/>
</cp:coreProperties>
</file>