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<sst xmlns="http://schemas.openxmlformats.org/spreadsheetml/2006/main" count="81" uniqueCount="81">
  <si>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</si>
  <si>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</si>
  <si>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</si>
  <si>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</si>
  <si>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</si>
  <si>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</si>
  <si>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</si>
  <si>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</si>
  <si>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</si>
  <si>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</si>
  <si>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</si>
  <si>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</si>
  <si>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</si>
  <si>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</si>
  <si>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</si>
  <si>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</si>
  <si>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</si>
  <si>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</si>
  <si>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</si>
  <si>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</si>
  <si>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</si>
  <si>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</si>
  <si>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</si>
  <si>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</si>
  <si>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</si>
  <si>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</si>
  <si>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</si>
  <si>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</si>
  <si>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</si>
  <si>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</si>
  <si>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</si>
  <si>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</si>
  <si>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</si>
  <si>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</si>
  <si>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</si>
  <si>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</si>
  <si>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</si>
  <si>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</si>
  <si>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</si>
  <si>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</si>
  <si>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</si>
  <si>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</si>
  <si>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</si>
  <si>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</si>
  <si>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</si>
  <si>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</si>
  <si>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д.5</t>
  </si>
  <si>
    <t>11</t>
  </si>
  <si>
    <t>Благоустройство территории</t>
  </si>
  <si>
    <t>Итого за 2011 г</t>
  </si>
  <si>
    <t>Проверка дымовых каналов</t>
  </si>
  <si>
    <t>12</t>
  </si>
  <si>
    <t>Результат за месяц</t>
  </si>
  <si>
    <t>Итого за 2012 г</t>
  </si>
  <si>
    <t>4.12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</si>
  <si>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</si>
  <si>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</si>
  <si>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</si>
  <si>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</si>
  <si>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</si>
  <si>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</si>
  <si>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</si>
  <si>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</si>
  <si>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</si>
  <si>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</si>
  <si>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</si>
  <si>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</si>
  <si>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</si>
  <si>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</si>
  <si>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</si>
  <si>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</si>
  <si>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</si>
  <si>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</si>
  <si>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</si>
  <si>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</si>
  <si>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Дом по ул.Попова  д.5 вступил в ООО "Наш дом" с февраля 2010 года     тариф 10,35 руб с января 2019 года тариф 9,6 руб.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</si>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</sst>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5" fillId="0" borderId="27" xfId="0" applyNumberFormat="1" applyFont="1" applyBorder="1" applyAlignment="1">
      <alignment/>
    </xf>
    <xf numFmtId="0" fontId="21" fillId="0" borderId="32" xfId="0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5" fillId="0" borderId="32" xfId="0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2" fontId="21" fillId="0" borderId="35" xfId="0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47" xfId="0" applyFont="1" applyBorder="1" applyAlignment="1">
      <alignment wrapText="1"/>
    </xf>
    <xf numFmtId="2" fontId="21" fillId="0" borderId="41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2" fontId="27" fillId="0" borderId="35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4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0" fontId="21" fillId="0" borderId="46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7" fillId="0" borderId="35" xfId="0" applyFont="1" applyBorder="1" applyAlignment="1">
      <alignment wrapText="1"/>
    </xf>
    <xf numFmtId="2" fontId="27" fillId="0" borderId="23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B1">
      <selection activeCell="U21" sqref="U21"/>
    </sheetView>
  </sheetViews>
  <sheetFormatPr defaultColWidth="9.00390625" defaultRowHeight="12.75"/>
  <cols>
    <col min="1" max="1" width="3.75390625" style="26" hidden="1" customWidth="1"/>
    <col min="2" max="2" width="19.875" style="0" customWidth="1"/>
    <col min="3" max="3" width="0.2421875" style="0" hidden="1" customWidth="1"/>
    <col min="4" max="4" width="12.625" style="0" hidden="1" customWidth="1"/>
    <col min="5" max="5" width="9.00390625" style="0" hidden="1" customWidth="1"/>
    <col min="6" max="6" width="9.875" style="0" hidden="1" customWidth="1"/>
    <col min="7" max="7" width="9.25390625" style="0" hidden="1" customWidth="1"/>
    <col min="8" max="8" width="10.375" style="0" hidden="1" customWidth="1"/>
    <col min="9" max="9" width="9.75390625" style="0" hidden="1" customWidth="1"/>
    <col min="10" max="10" width="9.125" style="0" hidden="1" customWidth="1"/>
    <col min="11" max="12" width="10.00390625" style="0" hidden="1" customWidth="1"/>
    <col min="13" max="13" width="9.875" style="0" customWidth="1"/>
    <col min="14" max="14" width="8.375" style="0" customWidth="1"/>
    <col min="15" max="16" width="8.25390625" style="0" customWidth="1"/>
    <col min="17" max="17" width="8.00390625" style="0" customWidth="1"/>
    <col min="18" max="18" width="9.00390625" style="0" customWidth="1"/>
    <col min="19" max="19" width="8.75390625" style="0" customWidth="1"/>
    <col min="20" max="20" width="9.00390625" style="0" customWidth="1"/>
    <col min="21" max="21" width="8.75390625" style="0" customWidth="1"/>
    <col min="22" max="22" width="8.625" style="0" customWidth="1"/>
    <col min="23" max="23" width="8.375" style="0" customWidth="1"/>
    <col min="24" max="24" width="9.00390625" style="0" customWidth="1"/>
    <col min="25" max="25" width="8.875" style="0" customWidth="1"/>
    <col min="26" max="26" width="10.25390625" style="0" hidden="1" customWidth="1"/>
  </cols>
  <sheetData>
    <row r="1" spans="2:31" ht="12.75" customHeight="1">
      <c r="B1" s="101" t="s">
        <v>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1" t="s">
        <v>75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4"/>
      <c r="AA2" s="4"/>
      <c r="AB2" s="4"/>
      <c r="AC2" s="4"/>
      <c r="AD2" s="4"/>
      <c r="AE2" s="4"/>
    </row>
    <row r="3" spans="2:31" ht="12.75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3"/>
      <c r="AB3" s="3"/>
      <c r="AC3" s="3"/>
      <c r="AD3" s="3"/>
      <c r="AE3" s="3"/>
    </row>
    <row r="4" spans="2:31" ht="12.75" customHeight="1">
      <c r="B4" s="99" t="s">
        <v>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2"/>
      <c r="AC4" s="2"/>
      <c r="AD4" s="2"/>
      <c r="AE4" s="2"/>
    </row>
    <row r="5" spans="2:31" ht="16.5" customHeight="1" thickBot="1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2"/>
      <c r="AB5" s="2"/>
      <c r="AC5" s="2"/>
      <c r="AD5" s="2"/>
      <c r="AE5" s="2"/>
    </row>
    <row r="6" spans="1:31" ht="29.25" customHeight="1" thickBot="1">
      <c r="A6" s="35" t="s">
        <v>26</v>
      </c>
      <c r="B6" s="27" t="s">
        <v>6</v>
      </c>
      <c r="C6" s="38" t="s">
        <v>43</v>
      </c>
      <c r="D6" s="68" t="s">
        <v>49</v>
      </c>
      <c r="E6" s="52" t="s">
        <v>53</v>
      </c>
      <c r="F6" s="52" t="s">
        <v>58</v>
      </c>
      <c r="G6" s="68" t="s">
        <v>59</v>
      </c>
      <c r="H6" s="52" t="s">
        <v>61</v>
      </c>
      <c r="I6" s="52" t="s">
        <v>67</v>
      </c>
      <c r="J6" s="52" t="s">
        <v>68</v>
      </c>
      <c r="K6" s="52" t="s">
        <v>73</v>
      </c>
      <c r="L6" s="52" t="s">
        <v>74</v>
      </c>
      <c r="M6" s="6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21</v>
      </c>
      <c r="X6" s="15" t="s">
        <v>20</v>
      </c>
      <c r="Y6" s="52" t="s">
        <v>77</v>
      </c>
      <c r="Z6" s="47" t="s">
        <v>78</v>
      </c>
      <c r="AA6" s="1"/>
      <c r="AB6" s="1"/>
      <c r="AC6" s="1"/>
      <c r="AD6" s="1"/>
      <c r="AE6" s="1"/>
    </row>
    <row r="7" spans="1:26" ht="13.5" thickBot="1">
      <c r="A7" s="36" t="s">
        <v>27</v>
      </c>
      <c r="B7" s="28" t="s">
        <v>1</v>
      </c>
      <c r="C7" s="63">
        <v>316162.78</v>
      </c>
      <c r="D7" s="69">
        <v>344785.96</v>
      </c>
      <c r="E7" s="64">
        <v>365740.74</v>
      </c>
      <c r="F7" s="63">
        <v>387024.24</v>
      </c>
      <c r="G7" s="69">
        <v>386902.02</v>
      </c>
      <c r="H7" s="63">
        <v>386703.27</v>
      </c>
      <c r="I7" s="80">
        <v>386485.96</v>
      </c>
      <c r="J7" s="63">
        <v>386071.96</v>
      </c>
      <c r="K7" s="63">
        <v>385848.48</v>
      </c>
      <c r="L7" s="63">
        <v>357842.28</v>
      </c>
      <c r="M7" s="7">
        <v>29799.55</v>
      </c>
      <c r="N7" s="7">
        <v>29792.83</v>
      </c>
      <c r="O7" s="7">
        <v>29792.83</v>
      </c>
      <c r="P7" s="7">
        <v>29792.83</v>
      </c>
      <c r="Q7" s="7">
        <v>29792.83</v>
      </c>
      <c r="R7" s="7">
        <v>29792.83</v>
      </c>
      <c r="S7" s="7">
        <v>29794.75</v>
      </c>
      <c r="T7" s="7">
        <v>29794.75</v>
      </c>
      <c r="U7" s="7">
        <v>29781.31</v>
      </c>
      <c r="V7" s="7">
        <v>29781.31</v>
      </c>
      <c r="W7" s="7">
        <v>29781.31</v>
      </c>
      <c r="X7" s="7">
        <v>29764.03</v>
      </c>
      <c r="Y7" s="57">
        <f>SUM(M7:X7)</f>
        <v>357461.16000000003</v>
      </c>
      <c r="Z7" s="59">
        <f>SUM(C7:X7)</f>
        <v>4061028.8499999996</v>
      </c>
    </row>
    <row r="8" spans="1:26" ht="13.5" thickBot="1">
      <c r="A8" s="36"/>
      <c r="B8" s="28" t="s">
        <v>69</v>
      </c>
      <c r="C8" s="64"/>
      <c r="D8" s="69"/>
      <c r="E8" s="64"/>
      <c r="F8" s="64"/>
      <c r="G8" s="69"/>
      <c r="H8" s="64"/>
      <c r="I8" s="69"/>
      <c r="J8" s="64">
        <v>26400.98</v>
      </c>
      <c r="K8" s="64">
        <v>18151.12</v>
      </c>
      <c r="L8" s="64">
        <v>4279.56</v>
      </c>
      <c r="M8" s="7">
        <f aca="true" t="shared" si="0" ref="M8:R8">186.82+180.66</f>
        <v>367.48</v>
      </c>
      <c r="N8" s="7">
        <f t="shared" si="0"/>
        <v>367.48</v>
      </c>
      <c r="O8" s="7">
        <f t="shared" si="0"/>
        <v>367.48</v>
      </c>
      <c r="P8" s="7">
        <f t="shared" si="0"/>
        <v>367.48</v>
      </c>
      <c r="Q8" s="7">
        <f t="shared" si="0"/>
        <v>367.48</v>
      </c>
      <c r="R8" s="7">
        <f t="shared" si="0"/>
        <v>367.48</v>
      </c>
      <c r="S8" s="8">
        <f>194.38+181.19</f>
        <v>375.57</v>
      </c>
      <c r="T8" s="8">
        <f>194.38+181.19</f>
        <v>375.57</v>
      </c>
      <c r="U8" s="8">
        <f>194.33+181.23</f>
        <v>375.56</v>
      </c>
      <c r="V8" s="8">
        <f>194.33+181.23</f>
        <v>375.56</v>
      </c>
      <c r="W8" s="8">
        <f>194.33+181.23</f>
        <v>375.56</v>
      </c>
      <c r="X8" s="8">
        <f>194.33+181.23</f>
        <v>375.56</v>
      </c>
      <c r="Y8" s="57">
        <f>SUM(M8:X8)</f>
        <v>4458.26</v>
      </c>
      <c r="Z8" s="59">
        <f>SUM(C8:X8)</f>
        <v>53289.920000000006</v>
      </c>
    </row>
    <row r="9" spans="1:26" ht="13.5" thickBot="1">
      <c r="A9" s="36"/>
      <c r="B9" s="93" t="s">
        <v>79</v>
      </c>
      <c r="C9" s="94"/>
      <c r="D9" s="95"/>
      <c r="E9" s="94"/>
      <c r="F9" s="94"/>
      <c r="G9" s="96"/>
      <c r="H9" s="94"/>
      <c r="I9" s="96"/>
      <c r="J9" s="94"/>
      <c r="K9" s="94"/>
      <c r="L9" s="94"/>
      <c r="M9" s="97">
        <v>400</v>
      </c>
      <c r="N9" s="97">
        <v>400</v>
      </c>
      <c r="O9" s="97">
        <v>400</v>
      </c>
      <c r="P9" s="97">
        <v>400</v>
      </c>
      <c r="Q9" s="97">
        <v>400</v>
      </c>
      <c r="R9" s="97">
        <v>400</v>
      </c>
      <c r="S9" s="97">
        <v>400</v>
      </c>
      <c r="T9" s="97">
        <v>400</v>
      </c>
      <c r="U9" s="97">
        <v>400</v>
      </c>
      <c r="V9" s="97">
        <v>400</v>
      </c>
      <c r="W9" s="97">
        <v>400</v>
      </c>
      <c r="X9" s="98">
        <v>400</v>
      </c>
      <c r="Y9" s="57">
        <f>SUM(M9:X9)</f>
        <v>4800</v>
      </c>
      <c r="Z9" s="59">
        <f>SUM(C9:X9)</f>
        <v>4800</v>
      </c>
    </row>
    <row r="10" spans="1:26" s="90" customFormat="1" ht="13.5" thickBot="1">
      <c r="A10" s="83" t="s">
        <v>28</v>
      </c>
      <c r="B10" s="84" t="s">
        <v>2</v>
      </c>
      <c r="C10" s="85">
        <f aca="true" t="shared" si="1" ref="C10:X10">SUM(C11:C25)</f>
        <v>244441.13999999996</v>
      </c>
      <c r="D10" s="86">
        <f t="shared" si="1"/>
        <v>340044.06</v>
      </c>
      <c r="E10" s="85">
        <f t="shared" si="1"/>
        <v>297174.62999999995</v>
      </c>
      <c r="F10" s="85">
        <f t="shared" si="1"/>
        <v>327050.04</v>
      </c>
      <c r="G10" s="87">
        <f>SUM(G11:G25)</f>
        <v>315226.64</v>
      </c>
      <c r="H10" s="85">
        <f>SUM(H11:H25)</f>
        <v>342593.47000000003</v>
      </c>
      <c r="I10" s="87">
        <f>SUM(I11:I25)</f>
        <v>357563</v>
      </c>
      <c r="J10" s="85">
        <f>SUM(J11:J25)</f>
        <v>348975.54000000004</v>
      </c>
      <c r="K10" s="85">
        <f t="shared" si="1"/>
        <v>370589.54000000004</v>
      </c>
      <c r="L10" s="85">
        <f t="shared" si="1"/>
        <v>296837.94</v>
      </c>
      <c r="M10" s="88">
        <f t="shared" si="1"/>
        <v>49170.55999999999</v>
      </c>
      <c r="N10" s="88">
        <f t="shared" si="1"/>
        <v>22983.24</v>
      </c>
      <c r="O10" s="88">
        <f t="shared" si="1"/>
        <v>23667.78</v>
      </c>
      <c r="P10" s="88">
        <f t="shared" si="1"/>
        <v>23191.74</v>
      </c>
      <c r="Q10" s="88">
        <f t="shared" si="1"/>
        <v>23918.93</v>
      </c>
      <c r="R10" s="88">
        <f t="shared" si="1"/>
        <v>25647.94</v>
      </c>
      <c r="S10" s="88">
        <f t="shared" si="1"/>
        <v>37863.48</v>
      </c>
      <c r="T10" s="88">
        <f t="shared" si="1"/>
        <v>26127.910000000003</v>
      </c>
      <c r="U10" s="88">
        <f t="shared" si="1"/>
        <v>30487.01</v>
      </c>
      <c r="V10" s="88">
        <f t="shared" si="1"/>
        <v>28763.89</v>
      </c>
      <c r="W10" s="88">
        <f t="shared" si="1"/>
        <v>32159.15</v>
      </c>
      <c r="X10" s="86">
        <f t="shared" si="1"/>
        <v>30259.06</v>
      </c>
      <c r="Y10" s="85">
        <f>SUM(M10:X10)</f>
        <v>354240.69000000006</v>
      </c>
      <c r="Z10" s="89">
        <f>SUM(C10:X10)</f>
        <v>3594736.69</v>
      </c>
    </row>
    <row r="11" spans="1:26" ht="13.5" thickBot="1">
      <c r="A11" s="36" t="s">
        <v>29</v>
      </c>
      <c r="B11" s="30" t="s">
        <v>80</v>
      </c>
      <c r="C11" s="42">
        <v>53575.3</v>
      </c>
      <c r="D11" s="70">
        <v>63351.02</v>
      </c>
      <c r="E11" s="42">
        <v>63609.36</v>
      </c>
      <c r="F11" s="42">
        <v>74758.23</v>
      </c>
      <c r="G11" s="70">
        <v>80979.76</v>
      </c>
      <c r="H11" s="42">
        <v>76371.01</v>
      </c>
      <c r="I11" s="70">
        <v>76367.35</v>
      </c>
      <c r="J11" s="42">
        <v>74446.18</v>
      </c>
      <c r="K11" s="42">
        <v>72623.89</v>
      </c>
      <c r="L11" s="42">
        <v>749.15</v>
      </c>
      <c r="M11" s="7"/>
      <c r="N11" s="8">
        <v>45.78</v>
      </c>
      <c r="O11" s="8">
        <v>53.72</v>
      </c>
      <c r="P11" s="8">
        <v>60.22</v>
      </c>
      <c r="Q11" s="8">
        <v>96.44</v>
      </c>
      <c r="R11" s="8">
        <v>70.98</v>
      </c>
      <c r="S11" s="8">
        <v>112.54</v>
      </c>
      <c r="T11" s="8">
        <v>116.51</v>
      </c>
      <c r="U11" s="8">
        <v>279.04</v>
      </c>
      <c r="V11" s="8">
        <v>116.53</v>
      </c>
      <c r="W11" s="8">
        <v>8.68</v>
      </c>
      <c r="X11" s="16">
        <v>11.53</v>
      </c>
      <c r="Y11" s="54">
        <f aca="true" t="shared" si="2" ref="Y11:Y27">SUM(M11:X11)</f>
        <v>971.9699999999999</v>
      </c>
      <c r="Z11" s="56">
        <f aca="true" t="shared" si="3" ref="Z11:Z25">SUM(C11:X11)</f>
        <v>637803.2200000001</v>
      </c>
    </row>
    <row r="12" spans="1:26" ht="14.25" customHeight="1" thickBot="1">
      <c r="A12" s="36" t="s">
        <v>30</v>
      </c>
      <c r="B12" s="31" t="s">
        <v>62</v>
      </c>
      <c r="C12" s="43">
        <v>70283.44</v>
      </c>
      <c r="D12" s="71">
        <v>32347.84</v>
      </c>
      <c r="E12" s="43">
        <f>3766.39+2809</f>
        <v>6575.389999999999</v>
      </c>
      <c r="F12" s="43">
        <f>2297.09+3875</f>
        <v>6172.09</v>
      </c>
      <c r="G12" s="71">
        <f>1073.89+1400</f>
        <v>2473.8900000000003</v>
      </c>
      <c r="H12" s="43">
        <v>8222.09</v>
      </c>
      <c r="I12" s="71">
        <v>8750</v>
      </c>
      <c r="J12" s="43">
        <v>190.35</v>
      </c>
      <c r="K12" s="43">
        <v>4022</v>
      </c>
      <c r="L12" s="43">
        <v>4400</v>
      </c>
      <c r="M12" s="9">
        <v>24320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4">
        <f t="shared" si="2"/>
        <v>24320</v>
      </c>
      <c r="Z12" s="56">
        <f t="shared" si="3"/>
        <v>167757.09</v>
      </c>
    </row>
    <row r="13" spans="1:26" ht="24.75" customHeight="1" thickBot="1">
      <c r="A13" s="36" t="s">
        <v>31</v>
      </c>
      <c r="B13" s="29" t="s">
        <v>4</v>
      </c>
      <c r="C13" s="43">
        <v>10415.44</v>
      </c>
      <c r="D13" s="71">
        <v>0</v>
      </c>
      <c r="E13" s="43">
        <v>0</v>
      </c>
      <c r="F13" s="43">
        <v>17203.22</v>
      </c>
      <c r="G13" s="71"/>
      <c r="H13" s="43">
        <v>1632.57</v>
      </c>
      <c r="I13" s="71">
        <v>17515.9</v>
      </c>
      <c r="J13" s="43">
        <v>0</v>
      </c>
      <c r="K13" s="43">
        <v>19583.23</v>
      </c>
      <c r="L13" s="43">
        <v>11408.3</v>
      </c>
      <c r="M13" s="9"/>
      <c r="N13" s="10"/>
      <c r="O13" s="10"/>
      <c r="P13" s="10"/>
      <c r="Q13" s="10"/>
      <c r="R13" s="10"/>
      <c r="S13" s="10">
        <v>11905.6</v>
      </c>
      <c r="T13" s="10"/>
      <c r="U13" s="10"/>
      <c r="V13" s="10"/>
      <c r="W13" s="10"/>
      <c r="X13" s="17"/>
      <c r="Y13" s="54">
        <f t="shared" si="2"/>
        <v>11905.6</v>
      </c>
      <c r="Z13" s="56">
        <f t="shared" si="3"/>
        <v>89664.26000000001</v>
      </c>
    </row>
    <row r="14" spans="1:26" ht="22.5" customHeight="1" thickBot="1">
      <c r="A14" s="36" t="s">
        <v>32</v>
      </c>
      <c r="B14" s="29" t="s">
        <v>50</v>
      </c>
      <c r="C14" s="43">
        <v>0</v>
      </c>
      <c r="D14" s="71">
        <v>3913.83</v>
      </c>
      <c r="E14" s="43">
        <v>0</v>
      </c>
      <c r="F14" s="43">
        <v>0</v>
      </c>
      <c r="G14" s="71"/>
      <c r="H14" s="43">
        <v>1700</v>
      </c>
      <c r="I14" s="71">
        <v>5100</v>
      </c>
      <c r="J14" s="43">
        <v>3000</v>
      </c>
      <c r="K14" s="43">
        <v>2200</v>
      </c>
      <c r="L14" s="43">
        <v>2500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54">
        <f t="shared" si="2"/>
        <v>0</v>
      </c>
      <c r="Z14" s="56">
        <f t="shared" si="3"/>
        <v>18413.83</v>
      </c>
    </row>
    <row r="15" spans="1:26" ht="12" customHeight="1" thickBot="1">
      <c r="A15" s="36" t="s">
        <v>33</v>
      </c>
      <c r="B15" s="31" t="s">
        <v>56</v>
      </c>
      <c r="C15" s="43">
        <v>3298.68</v>
      </c>
      <c r="D15" s="71">
        <v>31990.67</v>
      </c>
      <c r="E15" s="43">
        <v>6718.61</v>
      </c>
      <c r="F15" s="43">
        <v>6747.78</v>
      </c>
      <c r="G15" s="71">
        <v>10864.3</v>
      </c>
      <c r="H15" s="43">
        <v>7617.03</v>
      </c>
      <c r="I15" s="71">
        <v>11522.88</v>
      </c>
      <c r="J15" s="43">
        <v>8827.27</v>
      </c>
      <c r="K15" s="43">
        <v>4290.61</v>
      </c>
      <c r="L15" s="43">
        <v>6356.14</v>
      </c>
      <c r="M15" s="9"/>
      <c r="N15" s="10">
        <v>144</v>
      </c>
      <c r="O15" s="10">
        <v>105</v>
      </c>
      <c r="P15" s="10">
        <v>370</v>
      </c>
      <c r="Q15" s="10">
        <f>350+190</f>
        <v>540</v>
      </c>
      <c r="R15" s="10">
        <f>1371.47+320</f>
        <v>1691.47</v>
      </c>
      <c r="S15" s="10">
        <v>54.9</v>
      </c>
      <c r="T15" s="10">
        <v>90</v>
      </c>
      <c r="U15" s="10">
        <v>2677.8</v>
      </c>
      <c r="V15" s="10">
        <f>271+450</f>
        <v>721</v>
      </c>
      <c r="W15" s="10">
        <f>1091.6+320</f>
        <v>1411.6</v>
      </c>
      <c r="X15" s="17">
        <v>64</v>
      </c>
      <c r="Y15" s="54">
        <f>SUM(M15:X15)</f>
        <v>7869.77</v>
      </c>
      <c r="Z15" s="56">
        <f t="shared" si="3"/>
        <v>106103.74</v>
      </c>
    </row>
    <row r="16" spans="1:26" ht="25.5" customHeight="1" thickBot="1">
      <c r="A16" s="36" t="s">
        <v>34</v>
      </c>
      <c r="B16" s="31" t="s">
        <v>48</v>
      </c>
      <c r="C16" s="43">
        <v>0</v>
      </c>
      <c r="D16" s="71">
        <v>5291.97</v>
      </c>
      <c r="E16" s="43">
        <v>256</v>
      </c>
      <c r="F16" s="43">
        <v>0</v>
      </c>
      <c r="G16" s="71">
        <v>661.07</v>
      </c>
      <c r="H16" s="43">
        <v>52.96</v>
      </c>
      <c r="I16" s="71">
        <v>2676</v>
      </c>
      <c r="J16" s="43">
        <v>1100.28</v>
      </c>
      <c r="K16" s="43">
        <v>92</v>
      </c>
      <c r="L16" s="43">
        <v>901.77</v>
      </c>
      <c r="M16" s="9">
        <v>120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54">
        <f t="shared" si="2"/>
        <v>120</v>
      </c>
      <c r="Z16" s="56">
        <f t="shared" si="3"/>
        <v>11152.050000000001</v>
      </c>
    </row>
    <row r="17" spans="1:26" ht="15" customHeight="1" thickBot="1">
      <c r="A17" s="36" t="s">
        <v>35</v>
      </c>
      <c r="B17" s="31" t="s">
        <v>70</v>
      </c>
      <c r="C17" s="43">
        <v>10618.02</v>
      </c>
      <c r="D17" s="71">
        <v>16091.12</v>
      </c>
      <c r="E17" s="43">
        <v>8004.32</v>
      </c>
      <c r="F17" s="43">
        <v>0</v>
      </c>
      <c r="G17" s="71"/>
      <c r="H17" s="43">
        <v>0</v>
      </c>
      <c r="I17" s="71">
        <v>0</v>
      </c>
      <c r="J17" s="43">
        <v>23536.99</v>
      </c>
      <c r="K17" s="43">
        <v>14016.64</v>
      </c>
      <c r="L17" s="43">
        <v>0</v>
      </c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54">
        <f t="shared" si="2"/>
        <v>0</v>
      </c>
      <c r="Z17" s="56">
        <f t="shared" si="3"/>
        <v>72267.09</v>
      </c>
    </row>
    <row r="18" spans="1:26" ht="12.75" customHeight="1" thickBot="1">
      <c r="A18" s="36"/>
      <c r="B18" s="31" t="s">
        <v>71</v>
      </c>
      <c r="C18" s="43"/>
      <c r="D18" s="71"/>
      <c r="E18" s="43"/>
      <c r="F18" s="43"/>
      <c r="G18" s="71"/>
      <c r="H18" s="43"/>
      <c r="I18" s="71"/>
      <c r="J18" s="43">
        <v>1740.31</v>
      </c>
      <c r="K18" s="43">
        <v>2194.26</v>
      </c>
      <c r="L18" s="43">
        <v>2221.2</v>
      </c>
      <c r="M18" s="9">
        <v>186.78</v>
      </c>
      <c r="N18" s="9">
        <v>186.78</v>
      </c>
      <c r="O18" s="9">
        <v>186.78</v>
      </c>
      <c r="P18" s="9">
        <v>186.78</v>
      </c>
      <c r="Q18" s="9">
        <v>186.78</v>
      </c>
      <c r="R18" s="9">
        <v>186.78</v>
      </c>
      <c r="S18" s="9">
        <v>194.37</v>
      </c>
      <c r="T18" s="9">
        <v>194.37</v>
      </c>
      <c r="U18" s="9">
        <v>194.37</v>
      </c>
      <c r="V18" s="9">
        <v>194.37</v>
      </c>
      <c r="W18" s="9">
        <v>194.37</v>
      </c>
      <c r="X18" s="9">
        <v>194.37</v>
      </c>
      <c r="Y18" s="54">
        <f>SUM(M18:X18)</f>
        <v>2286.8999999999996</v>
      </c>
      <c r="Z18" s="56">
        <f>SUM(C18:X18)</f>
        <v>8442.67</v>
      </c>
    </row>
    <row r="19" spans="1:26" ht="12" customHeight="1" thickBot="1">
      <c r="A19" s="36"/>
      <c r="B19" s="31" t="s">
        <v>72</v>
      </c>
      <c r="C19" s="43"/>
      <c r="D19" s="71"/>
      <c r="E19" s="43"/>
      <c r="F19" s="43"/>
      <c r="G19" s="71"/>
      <c r="H19" s="43"/>
      <c r="I19" s="71"/>
      <c r="J19" s="43">
        <v>1123.13</v>
      </c>
      <c r="K19" s="43">
        <v>1940.16</v>
      </c>
      <c r="L19" s="43">
        <v>2058.18</v>
      </c>
      <c r="M19" s="9">
        <v>180.66</v>
      </c>
      <c r="N19" s="9">
        <v>180.66</v>
      </c>
      <c r="O19" s="9">
        <v>180.66</v>
      </c>
      <c r="P19" s="9">
        <v>180.66</v>
      </c>
      <c r="Q19" s="9">
        <v>180.66</v>
      </c>
      <c r="R19" s="9">
        <v>180.66</v>
      </c>
      <c r="S19" s="9">
        <v>181.17</v>
      </c>
      <c r="T19" s="9">
        <v>181.17</v>
      </c>
      <c r="U19" s="9">
        <v>181.17</v>
      </c>
      <c r="V19" s="9">
        <v>181.17</v>
      </c>
      <c r="W19" s="9">
        <v>181.17</v>
      </c>
      <c r="X19" s="9">
        <v>181.17</v>
      </c>
      <c r="Y19" s="54">
        <f>SUM(M19:X19)</f>
        <v>2170.9800000000005</v>
      </c>
      <c r="Z19" s="56">
        <f>SUM(C19:X19)</f>
        <v>7292.449999999999</v>
      </c>
    </row>
    <row r="20" spans="1:26" ht="12.75" customHeight="1" thickBot="1">
      <c r="A20" s="36" t="s">
        <v>36</v>
      </c>
      <c r="B20" s="31" t="s">
        <v>5</v>
      </c>
      <c r="C20" s="43">
        <v>869.62</v>
      </c>
      <c r="D20" s="71">
        <v>390.09</v>
      </c>
      <c r="E20" s="43">
        <v>206.02</v>
      </c>
      <c r="F20" s="43">
        <v>186.65</v>
      </c>
      <c r="G20" s="71"/>
      <c r="H20" s="43">
        <v>0</v>
      </c>
      <c r="I20" s="71">
        <v>0</v>
      </c>
      <c r="J20" s="43">
        <v>0</v>
      </c>
      <c r="K20" s="43">
        <v>0</v>
      </c>
      <c r="L20" s="43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7"/>
      <c r="Y20" s="54">
        <f t="shared" si="2"/>
        <v>0</v>
      </c>
      <c r="Z20" s="56">
        <f t="shared" si="3"/>
        <v>1652.38</v>
      </c>
    </row>
    <row r="21" spans="1:26" ht="35.25" customHeight="1" thickBot="1">
      <c r="A21" s="36" t="s">
        <v>37</v>
      </c>
      <c r="B21" s="31" t="s">
        <v>63</v>
      </c>
      <c r="C21" s="43">
        <v>4253.77</v>
      </c>
      <c r="D21" s="71">
        <v>15161.64</v>
      </c>
      <c r="E21" s="43">
        <v>19225.35</v>
      </c>
      <c r="F21" s="43">
        <v>17612.64</v>
      </c>
      <c r="G21" s="71">
        <v>12693.74</v>
      </c>
      <c r="H21" s="43">
        <v>14963.64</v>
      </c>
      <c r="I21" s="71">
        <v>15814.15</v>
      </c>
      <c r="J21" s="43">
        <v>16050.04</v>
      </c>
      <c r="K21" s="43">
        <v>16856.53</v>
      </c>
      <c r="L21" s="43">
        <v>13643.91</v>
      </c>
      <c r="M21" s="9">
        <v>1001.33</v>
      </c>
      <c r="N21" s="10">
        <v>897.42</v>
      </c>
      <c r="O21" s="10">
        <v>1115.71</v>
      </c>
      <c r="P21" s="10">
        <v>872.22</v>
      </c>
      <c r="Q21" s="10">
        <v>902.48</v>
      </c>
      <c r="R21" s="10">
        <v>910.92</v>
      </c>
      <c r="S21" s="10">
        <v>1053.61</v>
      </c>
      <c r="T21" s="10">
        <v>1313.04</v>
      </c>
      <c r="U21" s="10">
        <v>1259.4</v>
      </c>
      <c r="V21" s="10">
        <v>1463.8</v>
      </c>
      <c r="W21" s="10">
        <v>1361.4</v>
      </c>
      <c r="X21" s="17">
        <v>1242.02</v>
      </c>
      <c r="Y21" s="54">
        <f t="shared" si="2"/>
        <v>13393.349999999999</v>
      </c>
      <c r="Z21" s="56">
        <f t="shared" si="3"/>
        <v>159668.75999999998</v>
      </c>
    </row>
    <row r="22" spans="1:26" ht="21.75" customHeight="1" thickBot="1">
      <c r="A22" s="36" t="s">
        <v>38</v>
      </c>
      <c r="B22" s="31" t="s">
        <v>64</v>
      </c>
      <c r="C22" s="43">
        <v>8920.21</v>
      </c>
      <c r="D22" s="71">
        <v>8256.55</v>
      </c>
      <c r="E22" s="43">
        <v>2472.3</v>
      </c>
      <c r="F22" s="43">
        <v>1756.32</v>
      </c>
      <c r="G22" s="71">
        <v>3818.46</v>
      </c>
      <c r="H22" s="43">
        <v>2578.82</v>
      </c>
      <c r="I22" s="71">
        <v>2249.6</v>
      </c>
      <c r="J22" s="43">
        <v>1755.74</v>
      </c>
      <c r="K22" s="43">
        <v>1700.39</v>
      </c>
      <c r="L22" s="43">
        <v>1545</v>
      </c>
      <c r="M22" s="9">
        <v>57.5</v>
      </c>
      <c r="N22" s="10">
        <v>81.46</v>
      </c>
      <c r="O22" s="10">
        <v>78.04</v>
      </c>
      <c r="P22" s="10">
        <v>77.96</v>
      </c>
      <c r="Q22" s="10">
        <v>76.02</v>
      </c>
      <c r="R22" s="10">
        <v>66.43</v>
      </c>
      <c r="S22" s="10">
        <v>149.83</v>
      </c>
      <c r="T22" s="10">
        <v>77.75</v>
      </c>
      <c r="U22" s="10">
        <v>47.46</v>
      </c>
      <c r="V22" s="10">
        <v>143.36</v>
      </c>
      <c r="W22" s="10">
        <v>61.63</v>
      </c>
      <c r="X22" s="17">
        <v>167.78</v>
      </c>
      <c r="Y22" s="54">
        <f t="shared" si="2"/>
        <v>1085.22</v>
      </c>
      <c r="Z22" s="56">
        <f>SUM(C22:X22)</f>
        <v>36138.60999999999</v>
      </c>
    </row>
    <row r="23" spans="1:26" ht="31.5" customHeight="1" thickBot="1">
      <c r="A23" s="36" t="s">
        <v>54</v>
      </c>
      <c r="B23" s="31" t="s">
        <v>65</v>
      </c>
      <c r="C23" s="43">
        <v>5005.2</v>
      </c>
      <c r="D23" s="71">
        <v>13239.1</v>
      </c>
      <c r="E23" s="43">
        <v>12850.28</v>
      </c>
      <c r="F23" s="43">
        <v>17228.81</v>
      </c>
      <c r="G23" s="71">
        <v>14806.46</v>
      </c>
      <c r="H23" s="43">
        <v>19168.76</v>
      </c>
      <c r="I23" s="71">
        <v>16453.19</v>
      </c>
      <c r="J23" s="43">
        <v>17314.98</v>
      </c>
      <c r="K23" s="43">
        <v>18956.24</v>
      </c>
      <c r="L23" s="43">
        <v>18641.3</v>
      </c>
      <c r="M23" s="9">
        <f>40.9+538.76+878.53</f>
        <v>1458.19</v>
      </c>
      <c r="N23" s="10">
        <f>42.42+632.74+942.29</f>
        <v>1617.4499999999998</v>
      </c>
      <c r="O23" s="10">
        <f>40.46+570.81+966</f>
        <v>1577.27</v>
      </c>
      <c r="P23" s="10">
        <f>50.23+671.43+901.86</f>
        <v>1623.52</v>
      </c>
      <c r="Q23" s="10">
        <f>42.3+839.06+895.13</f>
        <v>1776.4899999999998</v>
      </c>
      <c r="R23" s="10">
        <f>41.05+708.27+844.26</f>
        <v>1593.58</v>
      </c>
      <c r="S23" s="10">
        <f>44.38+578.07+856.6</f>
        <v>1479.0500000000002</v>
      </c>
      <c r="T23" s="10">
        <f>831.28+41.95+582.9</f>
        <v>1456.13</v>
      </c>
      <c r="U23" s="10">
        <f>751.04+1283.06</f>
        <v>2034.1</v>
      </c>
      <c r="V23" s="10">
        <f>44.17+1254.18+1248.7</f>
        <v>2547.05</v>
      </c>
      <c r="W23" s="10">
        <f>48.57+1007.24+1202.1</f>
        <v>2257.91</v>
      </c>
      <c r="X23" s="17">
        <f>54.78+1398.62+1102.32</f>
        <v>2555.72</v>
      </c>
      <c r="Y23" s="54">
        <f t="shared" si="2"/>
        <v>21976.460000000003</v>
      </c>
      <c r="Z23" s="56">
        <f t="shared" si="3"/>
        <v>175640.77999999994</v>
      </c>
    </row>
    <row r="24" spans="1:26" ht="15.75" customHeight="1" thickBot="1">
      <c r="A24" s="36" t="s">
        <v>55</v>
      </c>
      <c r="B24" s="31" t="s">
        <v>8</v>
      </c>
      <c r="C24" s="43">
        <v>67252.69</v>
      </c>
      <c r="D24" s="71">
        <v>119000.49</v>
      </c>
      <c r="E24" s="43">
        <v>162113.33</v>
      </c>
      <c r="F24" s="43">
        <v>170019.25</v>
      </c>
      <c r="G24" s="71">
        <v>174190.32</v>
      </c>
      <c r="H24" s="43">
        <v>196147.92</v>
      </c>
      <c r="I24" s="71">
        <v>187236.92</v>
      </c>
      <c r="J24" s="43">
        <v>185246.26</v>
      </c>
      <c r="K24" s="43">
        <v>197494.94</v>
      </c>
      <c r="L24" s="43">
        <v>218786.41</v>
      </c>
      <c r="M24" s="9">
        <f>49170.56-28507.48</f>
        <v>20663.079999999998</v>
      </c>
      <c r="N24" s="10">
        <f>22983.24-4157.39</f>
        <v>18825.850000000002</v>
      </c>
      <c r="O24" s="10">
        <f>23667.78-4466.07</f>
        <v>19201.71</v>
      </c>
      <c r="P24" s="10">
        <f>23191.74-4475.81</f>
        <v>18715.93</v>
      </c>
      <c r="Q24" s="10">
        <f>23918.93-4832.09</f>
        <v>19086.84</v>
      </c>
      <c r="R24" s="10">
        <f>25647.94-5799.57</f>
        <v>19848.37</v>
      </c>
      <c r="S24" s="10">
        <f>37863.48-16269.33</f>
        <v>21594.15</v>
      </c>
      <c r="T24" s="10">
        <v>21456.79</v>
      </c>
      <c r="U24" s="10">
        <f>30487.01-7722.16</f>
        <v>22764.85</v>
      </c>
      <c r="V24" s="10">
        <f>28763.89-6384.46</f>
        <v>22379.43</v>
      </c>
      <c r="W24" s="10">
        <f>32159.15-6805.19</f>
        <v>25353.960000000003</v>
      </c>
      <c r="X24" s="17">
        <f>30259.06-5484.79</f>
        <v>24774.27</v>
      </c>
      <c r="Y24" s="54">
        <f t="shared" si="2"/>
        <v>254665.22999999998</v>
      </c>
      <c r="Z24" s="56">
        <f t="shared" si="3"/>
        <v>1932153.7600000002</v>
      </c>
    </row>
    <row r="25" spans="1:26" ht="13.5" customHeight="1" thickBot="1">
      <c r="A25" s="36" t="s">
        <v>57</v>
      </c>
      <c r="B25" s="32" t="s">
        <v>3</v>
      </c>
      <c r="C25" s="44">
        <v>9948.77</v>
      </c>
      <c r="D25" s="72">
        <v>31009.74</v>
      </c>
      <c r="E25" s="44">
        <v>15143.67</v>
      </c>
      <c r="F25" s="44">
        <v>15365.05</v>
      </c>
      <c r="G25" s="72">
        <v>14738.64</v>
      </c>
      <c r="H25" s="44">
        <v>14138.67</v>
      </c>
      <c r="I25" s="72">
        <v>13877.01</v>
      </c>
      <c r="J25" s="44">
        <v>14644.01</v>
      </c>
      <c r="K25" s="44">
        <v>14618.65</v>
      </c>
      <c r="L25" s="44">
        <v>13626.58</v>
      </c>
      <c r="M25" s="11">
        <f>15.7+14.35+1152.97</f>
        <v>1183.02</v>
      </c>
      <c r="N25" s="12">
        <f>12.23+991.61</f>
        <v>1003.84</v>
      </c>
      <c r="O25" s="12">
        <f>14.2+14.18+1140.51</f>
        <v>1168.89</v>
      </c>
      <c r="P25" s="12">
        <f>4.9+13.44+1086.11</f>
        <v>1104.4499999999998</v>
      </c>
      <c r="Q25" s="12">
        <f>13.25+1059.97</f>
        <v>1073.22</v>
      </c>
      <c r="R25" s="12">
        <f>7.5+13.36+1077.89</f>
        <v>1098.75</v>
      </c>
      <c r="S25" s="12">
        <f>17.8+13.8+1106.66</f>
        <v>1138.26</v>
      </c>
      <c r="T25" s="12">
        <v>1242.15</v>
      </c>
      <c r="U25" s="12">
        <f>11.9+13+1023.92</f>
        <v>1048.82</v>
      </c>
      <c r="V25" s="12">
        <f>8.5+12.63+996.05</f>
        <v>1017.18</v>
      </c>
      <c r="W25" s="12">
        <f>8.5+16.47+1303.46</f>
        <v>1328.43</v>
      </c>
      <c r="X25" s="19">
        <f>18.28+1049.92</f>
        <v>1068.2</v>
      </c>
      <c r="Y25" s="54">
        <f t="shared" si="2"/>
        <v>13475.210000000001</v>
      </c>
      <c r="Z25" s="56">
        <f t="shared" si="3"/>
        <v>170586</v>
      </c>
    </row>
    <row r="26" spans="1:26" ht="13.5" customHeight="1" thickBot="1">
      <c r="A26" s="36"/>
      <c r="B26" s="39" t="s">
        <v>60</v>
      </c>
      <c r="C26" s="74"/>
      <c r="D26" s="75"/>
      <c r="E26" s="74"/>
      <c r="F26" s="74"/>
      <c r="G26" s="79">
        <f>G7*5%</f>
        <v>19345.101000000002</v>
      </c>
      <c r="H26" s="65">
        <f>H7*5%</f>
        <v>19335.163500000002</v>
      </c>
      <c r="I26" s="81">
        <f>I7*5%</f>
        <v>19324.298000000003</v>
      </c>
      <c r="J26" s="65">
        <f>J7*5%</f>
        <v>19303.598</v>
      </c>
      <c r="K26" s="65">
        <f>SUM(K7+K8)*5%</f>
        <v>20199.98</v>
      </c>
      <c r="L26" s="65">
        <f>SUM(L7+L8)*5%</f>
        <v>18106.092</v>
      </c>
      <c r="M26" s="76">
        <f>SUM(M7+M8)*5%</f>
        <v>1508.3515</v>
      </c>
      <c r="N26" s="76">
        <f aca="true" t="shared" si="4" ref="N26:X26">SUM(N7+N8)*5%</f>
        <v>1508.0155000000002</v>
      </c>
      <c r="O26" s="76">
        <f t="shared" si="4"/>
        <v>1508.0155000000002</v>
      </c>
      <c r="P26" s="76">
        <f t="shared" si="4"/>
        <v>1508.0155000000002</v>
      </c>
      <c r="Q26" s="76">
        <f t="shared" si="4"/>
        <v>1508.0155000000002</v>
      </c>
      <c r="R26" s="76">
        <f t="shared" si="4"/>
        <v>1508.0155000000002</v>
      </c>
      <c r="S26" s="76">
        <f t="shared" si="4"/>
        <v>1508.516</v>
      </c>
      <c r="T26" s="76">
        <f t="shared" si="4"/>
        <v>1508.516</v>
      </c>
      <c r="U26" s="76">
        <f t="shared" si="4"/>
        <v>1507.8435000000002</v>
      </c>
      <c r="V26" s="76">
        <f t="shared" si="4"/>
        <v>1507.8435000000002</v>
      </c>
      <c r="W26" s="76">
        <f t="shared" si="4"/>
        <v>1507.8435000000002</v>
      </c>
      <c r="X26" s="76">
        <f t="shared" si="4"/>
        <v>1506.9795000000001</v>
      </c>
      <c r="Y26" s="65">
        <f t="shared" si="2"/>
        <v>18095.971000000005</v>
      </c>
      <c r="Z26" s="62"/>
    </row>
    <row r="27" spans="1:26" ht="15" customHeight="1" thickBot="1">
      <c r="A27" s="36" t="s">
        <v>39</v>
      </c>
      <c r="B27" s="60" t="s">
        <v>52</v>
      </c>
      <c r="C27" s="61"/>
      <c r="D27" s="73"/>
      <c r="E27" s="61"/>
      <c r="F27" s="61"/>
      <c r="G27" s="73"/>
      <c r="H27" s="61"/>
      <c r="I27" s="73"/>
      <c r="J27" s="82">
        <f>SUM(J7+J8-J10)-J26</f>
        <v>44193.80199999997</v>
      </c>
      <c r="K27" s="82">
        <f>SUM(K7+K8-K10)-K26</f>
        <v>13210.07999999994</v>
      </c>
      <c r="L27" s="82">
        <f>SUM(L7+L8-L10)-L26</f>
        <v>47177.80800000002</v>
      </c>
      <c r="M27" s="77">
        <f>SUM(M7+M8+M9-M10)-M26</f>
        <v>-20111.881499999992</v>
      </c>
      <c r="N27" s="77">
        <f aca="true" t="shared" si="5" ref="N27:X27">SUM(N7+N8+N9-N10)-N26</f>
        <v>6069.054499999999</v>
      </c>
      <c r="O27" s="77">
        <f t="shared" si="5"/>
        <v>5384.514500000002</v>
      </c>
      <c r="P27" s="77">
        <f t="shared" si="5"/>
        <v>5860.554499999999</v>
      </c>
      <c r="Q27" s="77">
        <f t="shared" si="5"/>
        <v>5133.364500000001</v>
      </c>
      <c r="R27" s="77">
        <f t="shared" si="5"/>
        <v>3404.354500000002</v>
      </c>
      <c r="S27" s="77">
        <f t="shared" si="5"/>
        <v>-8801.676000000003</v>
      </c>
      <c r="T27" s="77">
        <f t="shared" si="5"/>
        <v>2933.893999999996</v>
      </c>
      <c r="U27" s="77">
        <f t="shared" si="5"/>
        <v>-1437.983499999996</v>
      </c>
      <c r="V27" s="77">
        <f t="shared" si="5"/>
        <v>285.136500000003</v>
      </c>
      <c r="W27" s="77">
        <f t="shared" si="5"/>
        <v>-3110.123499999999</v>
      </c>
      <c r="X27" s="77">
        <f t="shared" si="5"/>
        <v>-1226.4495000000013</v>
      </c>
      <c r="Y27" s="65">
        <f t="shared" si="2"/>
        <v>-5617.240999999991</v>
      </c>
      <c r="Z27" s="62"/>
    </row>
    <row r="28" spans="1:26" ht="23.25" customHeight="1" thickBot="1">
      <c r="A28" s="36" t="s">
        <v>40</v>
      </c>
      <c r="B28" s="103" t="s">
        <v>22</v>
      </c>
      <c r="C28" s="103">
        <v>71721.65</v>
      </c>
      <c r="D28" s="86">
        <f>SUM(D7-D10)</f>
        <v>4741.900000000023</v>
      </c>
      <c r="E28" s="85">
        <f>SUM(E7-E10)</f>
        <v>68566.11000000004</v>
      </c>
      <c r="F28" s="85">
        <f>SUM(F7-F10)</f>
        <v>59974.20000000001</v>
      </c>
      <c r="G28" s="104">
        <f>SUM(G7-G10)-G26</f>
        <v>52330.279</v>
      </c>
      <c r="H28" s="91">
        <f>SUM(H7-H10)-H26</f>
        <v>24774.636499999986</v>
      </c>
      <c r="I28" s="104">
        <f>SUM(I7-I10)-I26</f>
        <v>9598.662000000018</v>
      </c>
      <c r="J28" s="91">
        <f>SUM(J7+J8-J10)-J26</f>
        <v>44193.80199999997</v>
      </c>
      <c r="K28" s="91">
        <f>SUM(K7+K8-K10)-K26</f>
        <v>13210.07999999994</v>
      </c>
      <c r="L28" s="91">
        <f>SUM(L7+L8-L10)-L26</f>
        <v>47177.80800000002</v>
      </c>
      <c r="M28" s="105">
        <f>SUM(M7+M8+V9-M10)-M26</f>
        <v>-20111.881499999992</v>
      </c>
      <c r="N28" s="106">
        <f>SUM(N27+M28)</f>
        <v>-14042.826999999994</v>
      </c>
      <c r="O28" s="106">
        <f aca="true" t="shared" si="6" ref="O28:X28">SUM(O27+N28)</f>
        <v>-8658.312499999993</v>
      </c>
      <c r="P28" s="106">
        <f t="shared" si="6"/>
        <v>-2797.7579999999934</v>
      </c>
      <c r="Q28" s="106">
        <f t="shared" si="6"/>
        <v>2335.606500000007</v>
      </c>
      <c r="R28" s="106">
        <f t="shared" si="6"/>
        <v>5739.961000000009</v>
      </c>
      <c r="S28" s="106">
        <f t="shared" si="6"/>
        <v>-3061.714999999994</v>
      </c>
      <c r="T28" s="106">
        <f t="shared" si="6"/>
        <v>-127.82099999999764</v>
      </c>
      <c r="U28" s="106">
        <f t="shared" si="6"/>
        <v>-1565.8044999999936</v>
      </c>
      <c r="V28" s="106">
        <f t="shared" si="6"/>
        <v>-1280.6679999999906</v>
      </c>
      <c r="W28" s="106">
        <f t="shared" si="6"/>
        <v>-4390.791499999989</v>
      </c>
      <c r="X28" s="106">
        <f t="shared" si="6"/>
        <v>-5617.240999999991</v>
      </c>
      <c r="Y28" s="85"/>
      <c r="Z28" s="92"/>
    </row>
    <row r="29" spans="1:26" ht="21.75" customHeight="1" hidden="1" thickBot="1">
      <c r="A29" s="36" t="s">
        <v>41</v>
      </c>
      <c r="B29" s="45" t="s">
        <v>23</v>
      </c>
      <c r="C29" s="39">
        <v>71721.65</v>
      </c>
      <c r="D29" s="18">
        <f>SUM(D7-D10,C29)</f>
        <v>76463.55000000002</v>
      </c>
      <c r="E29" s="54">
        <f>SUM(E7-E10,D29)</f>
        <v>145029.66000000006</v>
      </c>
      <c r="F29" s="54">
        <f>SUM(F7-F10,E29)</f>
        <v>205003.86000000007</v>
      </c>
      <c r="G29" s="79">
        <f aca="true" t="shared" si="7" ref="G29:M29">SUM(G28+F29)</f>
        <v>257334.13900000008</v>
      </c>
      <c r="H29" s="65">
        <f t="shared" si="7"/>
        <v>282108.77550000005</v>
      </c>
      <c r="I29" s="65">
        <f t="shared" si="7"/>
        <v>291707.43750000006</v>
      </c>
      <c r="J29" s="65">
        <f t="shared" si="7"/>
        <v>335901.2395</v>
      </c>
      <c r="K29" s="65">
        <f t="shared" si="7"/>
        <v>349111.3195</v>
      </c>
      <c r="L29" s="65">
        <f t="shared" si="7"/>
        <v>396289.1275</v>
      </c>
      <c r="M29" s="65">
        <f t="shared" si="7"/>
        <v>376177.246</v>
      </c>
      <c r="N29" s="78">
        <f>SUM(N27+M29)</f>
        <v>382246.3005</v>
      </c>
      <c r="O29" s="78">
        <f>SUM(O27+N29)</f>
        <v>387630.815</v>
      </c>
      <c r="P29" s="78">
        <f aca="true" t="shared" si="8" ref="P29:W29">SUM(P27+O29)</f>
        <v>393491.36950000003</v>
      </c>
      <c r="Q29" s="78">
        <f t="shared" si="8"/>
        <v>398624.73400000005</v>
      </c>
      <c r="R29" s="78">
        <f t="shared" si="8"/>
        <v>402029.08850000007</v>
      </c>
      <c r="S29" s="78">
        <f t="shared" si="8"/>
        <v>393227.4125000001</v>
      </c>
      <c r="T29" s="78">
        <f t="shared" si="8"/>
        <v>396161.30650000006</v>
      </c>
      <c r="U29" s="78">
        <f t="shared" si="8"/>
        <v>394723.3230000001</v>
      </c>
      <c r="V29" s="78">
        <f t="shared" si="8"/>
        <v>395008.4595000001</v>
      </c>
      <c r="W29" s="78">
        <f t="shared" si="8"/>
        <v>391898.3360000001</v>
      </c>
      <c r="X29" s="78">
        <f>SUM(X27+W29)</f>
        <v>390671.88650000014</v>
      </c>
      <c r="Y29" s="54"/>
      <c r="Z29" s="48"/>
    </row>
    <row r="30" spans="1:26" ht="9.75" customHeight="1" hidden="1" thickBot="1">
      <c r="A30" s="37" t="s">
        <v>42</v>
      </c>
      <c r="B30" s="45" t="s">
        <v>7</v>
      </c>
      <c r="C30" s="40"/>
      <c r="D30" s="40"/>
      <c r="E30" s="66"/>
      <c r="F30" s="66"/>
      <c r="G30" s="66"/>
      <c r="H30" s="66"/>
      <c r="I30" s="66"/>
      <c r="J30" s="66"/>
      <c r="K30" s="66"/>
      <c r="L30" s="66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53"/>
      <c r="Z30" s="49"/>
    </row>
    <row r="31" spans="1:26" ht="15" customHeight="1" hidden="1" thickBot="1">
      <c r="A31" s="37" t="s">
        <v>44</v>
      </c>
      <c r="B31" s="33" t="s">
        <v>24</v>
      </c>
      <c r="C31" s="40"/>
      <c r="D31" s="40"/>
      <c r="E31" s="66"/>
      <c r="F31" s="66"/>
      <c r="G31" s="66"/>
      <c r="H31" s="66"/>
      <c r="I31" s="66"/>
      <c r="J31" s="66"/>
      <c r="K31" s="66"/>
      <c r="L31" s="66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4"/>
      <c r="Z31" s="50"/>
    </row>
    <row r="32" spans="1:26" ht="24" customHeight="1" hidden="1" thickBot="1">
      <c r="A32" s="46" t="s">
        <v>47</v>
      </c>
      <c r="B32" s="34" t="s">
        <v>45</v>
      </c>
      <c r="C32" s="41"/>
      <c r="D32" s="41"/>
      <c r="E32" s="67"/>
      <c r="F32" s="67"/>
      <c r="G32" s="67"/>
      <c r="H32" s="67"/>
      <c r="I32" s="67"/>
      <c r="J32" s="67"/>
      <c r="K32" s="67"/>
      <c r="L32" s="67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>
        <f>SUM(X28-X30)</f>
        <v>-5617.240999999991</v>
      </c>
      <c r="Y32" s="55"/>
      <c r="Z32" s="51"/>
    </row>
    <row r="33" spans="1:26" ht="24" customHeight="1" hidden="1" thickBot="1">
      <c r="A33" s="58" t="s">
        <v>51</v>
      </c>
      <c r="B33" s="34" t="s">
        <v>25</v>
      </c>
      <c r="C33" s="41"/>
      <c r="D33" s="41"/>
      <c r="E33" s="67"/>
      <c r="F33" s="67"/>
      <c r="G33" s="67"/>
      <c r="H33" s="67"/>
      <c r="I33" s="67"/>
      <c r="J33" s="67"/>
      <c r="K33" s="67"/>
      <c r="L33" s="67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SUM(X29-X30)</f>
        <v>390671.88650000014</v>
      </c>
      <c r="Y33" s="55"/>
      <c r="Z33" s="51"/>
    </row>
    <row r="34" spans="3:26" ht="0.75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ht="12.75" hidden="1"/>
    <row r="36" ht="0.75" customHeight="1" hidden="1"/>
    <row r="37" ht="12.75" hidden="1"/>
    <row r="38" ht="12.75" hidden="1"/>
    <row r="39" ht="12.75">
      <c r="B39" t="s">
        <v>66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2021-02-05T06:09:32Z</cp:lastPrinted>
  <dcterms:created xsi:type="dcterms:W3CDTF">2011-06-16T11:06:26Z</dcterms:created>
  <dcterms:modified xsi:type="dcterms:W3CDTF">2021-02-18T10:49:10Z</dcterms:modified>
  <cp:category/>
  <cp:version/>
  <cp:contentType/>
  <cp:contentStatus/>
</cp:coreProperties>
</file>