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<sst xmlns="http://schemas.openxmlformats.org/spreadsheetml/2006/main" count="82" uniqueCount="82">
  <si>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</si>
  <si>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</si>
  <si>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</si>
  <si>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</si>
  <si>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</si>
  <si>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</si>
  <si>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</si>
  <si>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</si>
  <si>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</si>
  <si>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</si>
  <si>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</si>
  <si>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</si>
  <si>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</si>
  <si>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</si>
  <si>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</si>
  <si>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</si>
  <si>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</si>
  <si>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</si>
  <si>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</si>
  <si>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</si>
  <si>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</si>
  <si>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</si>
  <si>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</si>
  <si>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</si>
  <si>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</si>
  <si>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</si>
  <si>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</si>
  <si>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</si>
  <si>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</si>
  <si>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</si>
  <si>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</si>
  <si>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</si>
  <si>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</si>
  <si>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</si>
  <si>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</si>
  <si>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</si>
  <si>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</si>
  <si>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</si>
  <si>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</si>
  <si>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</si>
  <si>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</si>
  <si>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</si>
  <si>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</si>
  <si>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</si>
  <si>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</si>
  <si>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по жилому дому г. Унеча ул. Пролетарская д.3</t>
  </si>
  <si>
    <t>11</t>
  </si>
  <si>
    <t>Итого за 2011 г</t>
  </si>
  <si>
    <t>Результат за месяц</t>
  </si>
  <si>
    <t>Итого за 2012 г</t>
  </si>
  <si>
    <t>Финансовый результат по дому с начала года по оплате</t>
  </si>
  <si>
    <t>Финансовый результат по дому с начала деятельности по оплате</t>
  </si>
  <si>
    <t xml:space="preserve">Материалы </t>
  </si>
  <si>
    <t>4.12</t>
  </si>
  <si>
    <t>4.13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</si>
  <si>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</si>
  <si>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</si>
  <si>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</si>
  <si>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</si>
  <si>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</si>
  <si>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>Проверка вент.каналов</t>
  </si>
  <si>
    <t>4.4</t>
  </si>
  <si>
    <t xml:space="preserve">Расходы на управление,аренда, связь </t>
  </si>
  <si>
    <t>Исполнитель  вед. экономист /Викторова Л.С../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</si>
  <si>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</si>
  <si>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</si>
  <si>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</si>
  <si>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</si>
  <si>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</si>
  <si>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</si>
  <si>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</si>
  <si>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</si>
  <si>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Благоустр  территории</t>
  </si>
  <si>
    <t>Транспортные(ГСМ,зап.части,амортизация,страхов)</t>
  </si>
  <si>
    <t>Итого за 2018 г</t>
  </si>
  <si>
    <t>Итого за 2019 г</t>
  </si>
  <si>
    <t>Дом по ул.Пролетарская  д.3 вступил в ООО "Наш дом" с февраля 2010 года       тариф 9,2 руб с января 2019 года тариф 8,6 руб.</t>
  </si>
  <si>
    <t>ООО "НД УНЕЧА"</t>
  </si>
  <si>
    <t>Итого за 2020 г</t>
  </si>
  <si>
    <t>Всего за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</si>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</sst>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7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1" fillId="0" borderId="26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5" fillId="0" borderId="26" xfId="0" applyFont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4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7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0" fontId="21" fillId="2" borderId="25" xfId="0" applyFont="1" applyFill="1" applyBorder="1" applyAlignment="1">
      <alignment wrapText="1"/>
    </xf>
    <xf numFmtId="0" fontId="26" fillId="0" borderId="31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11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0" fontId="26" fillId="0" borderId="36" xfId="0" applyFont="1" applyBorder="1" applyAlignment="1">
      <alignment wrapText="1"/>
    </xf>
    <xf numFmtId="0" fontId="27" fillId="0" borderId="26" xfId="0" applyFont="1" applyBorder="1" applyAlignment="1">
      <alignment horizontal="center" vertical="center" wrapText="1"/>
    </xf>
    <xf numFmtId="0" fontId="20" fillId="0" borderId="31" xfId="0" applyFont="1" applyBorder="1" applyAlignment="1">
      <alignment/>
    </xf>
    <xf numFmtId="2" fontId="20" fillId="0" borderId="34" xfId="0" applyNumberFormat="1" applyFont="1" applyBorder="1" applyAlignment="1">
      <alignment/>
    </xf>
    <xf numFmtId="2" fontId="20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8" fillId="0" borderId="34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4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5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48" xfId="0" applyFont="1" applyBorder="1" applyAlignment="1">
      <alignment/>
    </xf>
    <xf numFmtId="0" fontId="28" fillId="0" borderId="47" xfId="0" applyFont="1" applyBorder="1" applyAlignment="1">
      <alignment/>
    </xf>
    <xf numFmtId="2" fontId="28" fillId="0" borderId="34" xfId="0" applyNumberFormat="1" applyFont="1" applyBorder="1" applyAlignment="1">
      <alignment/>
    </xf>
    <xf numFmtId="2" fontId="28" fillId="0" borderId="47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0" fontId="28" fillId="0" borderId="45" xfId="0" applyFont="1" applyBorder="1" applyAlignment="1">
      <alignment/>
    </xf>
    <xf numFmtId="0" fontId="24" fillId="0" borderId="37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1" fillId="0" borderId="44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B10">
      <selection activeCell="B13" sqref="B13"/>
    </sheetView>
  </sheetViews>
  <sheetFormatPr defaultColWidth="9.00390625" defaultRowHeight="12.75"/>
  <cols>
    <col min="1" max="1" width="3.875" style="25" hidden="1" customWidth="1"/>
    <col min="2" max="2" width="20.375" style="0" customWidth="1"/>
    <col min="3" max="3" width="7.125" style="0" hidden="1" customWidth="1"/>
    <col min="4" max="4" width="8.125" style="0" hidden="1" customWidth="1"/>
    <col min="5" max="5" width="10.625" style="0" hidden="1" customWidth="1"/>
    <col min="6" max="6" width="9.25390625" style="0" hidden="1" customWidth="1"/>
    <col min="7" max="7" width="8.875" style="0" hidden="1" customWidth="1"/>
    <col min="8" max="8" width="9.125" style="0" hidden="1" customWidth="1"/>
    <col min="9" max="9" width="11.00390625" style="0" hidden="1" customWidth="1"/>
    <col min="10" max="10" width="10.375" style="0" hidden="1" customWidth="1"/>
    <col min="11" max="12" width="9.00390625" style="0" hidden="1" customWidth="1"/>
    <col min="13" max="13" width="9.125" style="0" customWidth="1"/>
    <col min="14" max="15" width="8.75390625" style="0" customWidth="1"/>
    <col min="16" max="16" width="9.00390625" style="0" customWidth="1"/>
    <col min="17" max="18" width="8.875" style="0" customWidth="1"/>
    <col min="19" max="19" width="8.625" style="0" customWidth="1"/>
    <col min="20" max="20" width="8.75390625" style="0" customWidth="1"/>
    <col min="21" max="21" width="9.125" style="0" customWidth="1"/>
    <col min="22" max="23" width="9.00390625" style="0" customWidth="1"/>
    <col min="24" max="24" width="8.75390625" style="0" customWidth="1"/>
    <col min="25" max="25" width="9.00390625" style="0" customWidth="1"/>
    <col min="26" max="26" width="9.375" style="0" customWidth="1"/>
  </cols>
  <sheetData>
    <row r="1" spans="2:31" ht="12.75" customHeight="1">
      <c r="B1" s="101" t="s">
        <v>77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1" t="s">
        <v>76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102"/>
      <c r="Y2" s="102"/>
      <c r="Z2" s="4"/>
      <c r="AA2" s="4"/>
      <c r="AB2" s="4"/>
      <c r="AC2" s="4"/>
      <c r="AD2" s="4"/>
      <c r="AE2" s="4"/>
    </row>
    <row r="3" spans="2:31" ht="12.75" customHeight="1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3"/>
      <c r="AB3" s="3"/>
      <c r="AC3" s="3"/>
      <c r="AD3" s="3"/>
      <c r="AE3" s="3"/>
    </row>
    <row r="4" spans="2:31" ht="13.5" customHeight="1">
      <c r="B4" s="99" t="s">
        <v>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2"/>
      <c r="AB4" s="2"/>
      <c r="AC4" s="2"/>
      <c r="AD4" s="2"/>
      <c r="AE4" s="2"/>
    </row>
    <row r="5" spans="2:31" ht="16.5" customHeight="1" thickBot="1">
      <c r="B5" s="99" t="s">
        <v>45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27" customHeight="1" thickBot="1">
      <c r="A7" s="34" t="s">
        <v>25</v>
      </c>
      <c r="B7" s="26" t="s">
        <v>6</v>
      </c>
      <c r="C7" s="37" t="s">
        <v>43</v>
      </c>
      <c r="D7" s="50" t="s">
        <v>47</v>
      </c>
      <c r="E7" s="50" t="s">
        <v>49</v>
      </c>
      <c r="F7" s="50" t="s">
        <v>55</v>
      </c>
      <c r="G7" s="50" t="s">
        <v>56</v>
      </c>
      <c r="H7" s="50" t="s">
        <v>58</v>
      </c>
      <c r="I7" s="50" t="s">
        <v>65</v>
      </c>
      <c r="J7" s="50" t="s">
        <v>66</v>
      </c>
      <c r="K7" s="50" t="s">
        <v>74</v>
      </c>
      <c r="L7" s="50" t="s">
        <v>75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4" t="s">
        <v>20</v>
      </c>
      <c r="Y7" s="50" t="s">
        <v>78</v>
      </c>
      <c r="Z7" s="73" t="s">
        <v>79</v>
      </c>
      <c r="AA7" s="1"/>
      <c r="AB7" s="1"/>
      <c r="AC7" s="1"/>
      <c r="AD7" s="1"/>
      <c r="AE7" s="1"/>
    </row>
    <row r="8" spans="1:26" ht="13.5" thickBot="1">
      <c r="A8" s="35" t="s">
        <v>26</v>
      </c>
      <c r="B8" s="27" t="s">
        <v>1</v>
      </c>
      <c r="C8" s="58">
        <v>268150.56</v>
      </c>
      <c r="D8" s="60">
        <v>291845.16</v>
      </c>
      <c r="E8" s="58">
        <v>291372.28</v>
      </c>
      <c r="F8" s="58">
        <v>290738.4</v>
      </c>
      <c r="G8" s="72">
        <v>290048.4</v>
      </c>
      <c r="H8" s="58">
        <v>289435.68</v>
      </c>
      <c r="I8" s="58">
        <v>289351.04</v>
      </c>
      <c r="J8" s="58">
        <v>289106.32</v>
      </c>
      <c r="K8" s="58">
        <v>288806.4</v>
      </c>
      <c r="L8" s="58">
        <v>269952.28</v>
      </c>
      <c r="M8" s="7">
        <v>22505.34</v>
      </c>
      <c r="N8" s="7">
        <v>22499.32</v>
      </c>
      <c r="O8" s="7">
        <v>22499.32</v>
      </c>
      <c r="P8" s="7">
        <v>22499.32</v>
      </c>
      <c r="Q8" s="7">
        <v>22499.32</v>
      </c>
      <c r="R8" s="7">
        <v>22499.32</v>
      </c>
      <c r="S8" s="7">
        <v>22499.32</v>
      </c>
      <c r="T8" s="7">
        <v>22499.32</v>
      </c>
      <c r="U8" s="7">
        <v>22499.32</v>
      </c>
      <c r="V8" s="7">
        <v>22499.32</v>
      </c>
      <c r="W8" s="7">
        <v>22482.98</v>
      </c>
      <c r="X8" s="7">
        <v>22482.98</v>
      </c>
      <c r="Y8" s="51">
        <f>SUM(M8:X8)</f>
        <v>269965.18000000005</v>
      </c>
      <c r="Z8" s="74">
        <f>SUM(C8:X8)</f>
        <v>3128771.699999998</v>
      </c>
    </row>
    <row r="9" spans="1:26" ht="13.5" thickBot="1">
      <c r="A9" s="35"/>
      <c r="B9" s="27" t="s">
        <v>67</v>
      </c>
      <c r="C9" s="72"/>
      <c r="D9" s="60"/>
      <c r="E9" s="72"/>
      <c r="F9" s="72"/>
      <c r="G9" s="72"/>
      <c r="H9" s="72"/>
      <c r="I9" s="72"/>
      <c r="J9" s="72">
        <v>28193.44</v>
      </c>
      <c r="K9" s="72">
        <v>19429.52</v>
      </c>
      <c r="L9" s="72">
        <v>7600.38</v>
      </c>
      <c r="M9" s="7">
        <f aca="true" t="shared" si="0" ref="M9:R9">96.08+153.07+398.24</f>
        <v>647.39</v>
      </c>
      <c r="N9" s="7">
        <f t="shared" si="0"/>
        <v>647.39</v>
      </c>
      <c r="O9" s="7">
        <f t="shared" si="0"/>
        <v>647.39</v>
      </c>
      <c r="P9" s="7">
        <f t="shared" si="0"/>
        <v>647.39</v>
      </c>
      <c r="Q9" s="7">
        <f t="shared" si="0"/>
        <v>647.39</v>
      </c>
      <c r="R9" s="7">
        <f t="shared" si="0"/>
        <v>647.39</v>
      </c>
      <c r="S9" s="8">
        <f aca="true" t="shared" si="1" ref="S9:X9">253.47+412.54</f>
        <v>666.01</v>
      </c>
      <c r="T9" s="8">
        <f t="shared" si="1"/>
        <v>666.01</v>
      </c>
      <c r="U9" s="8">
        <f t="shared" si="1"/>
        <v>666.01</v>
      </c>
      <c r="V9" s="8">
        <f t="shared" si="1"/>
        <v>666.01</v>
      </c>
      <c r="W9" s="8">
        <f t="shared" si="1"/>
        <v>666.01</v>
      </c>
      <c r="X9" s="8">
        <f t="shared" si="1"/>
        <v>666.01</v>
      </c>
      <c r="Y9" s="51">
        <f>SUM(M9:X9)</f>
        <v>7880.400000000001</v>
      </c>
      <c r="Z9" s="74">
        <f>SUM(C9:X9)</f>
        <v>63103.740000000005</v>
      </c>
    </row>
    <row r="10" spans="1:26" ht="13.5" thickBot="1">
      <c r="A10" s="35"/>
      <c r="B10" s="95" t="s">
        <v>80</v>
      </c>
      <c r="C10" s="96"/>
      <c r="D10" s="97"/>
      <c r="E10" s="96"/>
      <c r="F10" s="96"/>
      <c r="G10" s="96"/>
      <c r="H10" s="96"/>
      <c r="I10" s="96"/>
      <c r="J10" s="96"/>
      <c r="K10" s="96"/>
      <c r="L10" s="96"/>
      <c r="M10" s="98">
        <v>400</v>
      </c>
      <c r="N10" s="98">
        <v>400</v>
      </c>
      <c r="O10" s="98">
        <v>400</v>
      </c>
      <c r="P10" s="98">
        <v>400</v>
      </c>
      <c r="Q10" s="98">
        <v>400</v>
      </c>
      <c r="R10" s="98">
        <v>400</v>
      </c>
      <c r="S10" s="98">
        <v>400</v>
      </c>
      <c r="T10" s="98">
        <v>400</v>
      </c>
      <c r="U10" s="98">
        <v>400</v>
      </c>
      <c r="V10" s="98">
        <v>400</v>
      </c>
      <c r="W10" s="98">
        <v>400</v>
      </c>
      <c r="X10" s="98">
        <v>400</v>
      </c>
      <c r="Y10" s="51">
        <f>SUM(M10:X10)</f>
        <v>4800</v>
      </c>
      <c r="Z10" s="74">
        <f>SUM(C10:X10)</f>
        <v>4800</v>
      </c>
    </row>
    <row r="11" spans="1:26" s="85" customFormat="1" ht="13.5" thickBot="1">
      <c r="A11" s="79" t="s">
        <v>27</v>
      </c>
      <c r="B11" s="80" t="s">
        <v>2</v>
      </c>
      <c r="C11" s="81">
        <f aca="true" t="shared" si="2" ref="C11:M11">SUM(C12:C27)</f>
        <v>202516.37000000002</v>
      </c>
      <c r="D11" s="82">
        <f t="shared" si="2"/>
        <v>282254.99</v>
      </c>
      <c r="E11" s="81">
        <f t="shared" si="2"/>
        <v>287412.62</v>
      </c>
      <c r="F11" s="81">
        <f t="shared" si="2"/>
        <v>315841.52</v>
      </c>
      <c r="G11" s="81">
        <f t="shared" si="2"/>
        <v>389144.88</v>
      </c>
      <c r="H11" s="81">
        <f>SUM(H12:H27)</f>
        <v>336002.56000000006</v>
      </c>
      <c r="I11" s="81">
        <f>SUM(I12:I27)</f>
        <v>328333.86</v>
      </c>
      <c r="J11" s="81">
        <f>SUM(J12:J27)</f>
        <v>353178.93000000005</v>
      </c>
      <c r="K11" s="81">
        <f t="shared" si="2"/>
        <v>399122.82</v>
      </c>
      <c r="L11" s="81">
        <f t="shared" si="2"/>
        <v>306017.68</v>
      </c>
      <c r="M11" s="83">
        <f t="shared" si="2"/>
        <v>26454.519999999997</v>
      </c>
      <c r="N11" s="83">
        <f aca="true" t="shared" si="3" ref="N11:X11">SUM(N12:N27)</f>
        <v>43282.05999999999</v>
      </c>
      <c r="O11" s="83">
        <f t="shared" si="3"/>
        <v>24849.27</v>
      </c>
      <c r="P11" s="83">
        <f t="shared" si="3"/>
        <v>24990.23</v>
      </c>
      <c r="Q11" s="83">
        <f t="shared" si="3"/>
        <v>24730.48</v>
      </c>
      <c r="R11" s="83">
        <f t="shared" si="3"/>
        <v>25194.39</v>
      </c>
      <c r="S11" s="83">
        <f t="shared" si="3"/>
        <v>26603.17</v>
      </c>
      <c r="T11" s="83">
        <f t="shared" si="3"/>
        <v>28237.649999999998</v>
      </c>
      <c r="U11" s="83">
        <f t="shared" si="3"/>
        <v>29464.619999999995</v>
      </c>
      <c r="V11" s="83">
        <f t="shared" si="3"/>
        <v>37975.53</v>
      </c>
      <c r="W11" s="83">
        <f t="shared" si="3"/>
        <v>30001.560000000005</v>
      </c>
      <c r="X11" s="82">
        <f t="shared" si="3"/>
        <v>31286.9</v>
      </c>
      <c r="Y11" s="81">
        <f>SUM(M11:X11)</f>
        <v>353070.38</v>
      </c>
      <c r="Z11" s="84">
        <f>SUM(C11:X11)</f>
        <v>3552896.61</v>
      </c>
    </row>
    <row r="12" spans="1:26" ht="13.5" thickBot="1">
      <c r="A12" s="35" t="s">
        <v>28</v>
      </c>
      <c r="B12" s="29" t="s">
        <v>81</v>
      </c>
      <c r="C12" s="41">
        <v>42303.3</v>
      </c>
      <c r="D12" s="61">
        <v>54467.97</v>
      </c>
      <c r="E12" s="41">
        <v>57082.64</v>
      </c>
      <c r="F12" s="41">
        <v>66432.7</v>
      </c>
      <c r="G12" s="41">
        <v>69352</v>
      </c>
      <c r="H12" s="41">
        <v>66646.07</v>
      </c>
      <c r="I12" s="41">
        <v>63167.79</v>
      </c>
      <c r="J12" s="41">
        <v>63289.09</v>
      </c>
      <c r="K12" s="41">
        <v>63701.7</v>
      </c>
      <c r="L12" s="41">
        <v>631.65</v>
      </c>
      <c r="M12" s="7"/>
      <c r="N12" s="8">
        <v>40.92</v>
      </c>
      <c r="O12" s="8">
        <v>47.59</v>
      </c>
      <c r="P12" s="8">
        <v>53.35</v>
      </c>
      <c r="Q12" s="8">
        <v>85.45</v>
      </c>
      <c r="R12" s="8">
        <v>62.86</v>
      </c>
      <c r="S12" s="8">
        <v>98.72</v>
      </c>
      <c r="T12" s="8">
        <v>102.2</v>
      </c>
      <c r="U12" s="8">
        <v>240.21</v>
      </c>
      <c r="V12" s="8">
        <v>104.04</v>
      </c>
      <c r="W12" s="8">
        <v>7.67</v>
      </c>
      <c r="X12" s="15">
        <v>10.19</v>
      </c>
      <c r="Y12" s="53">
        <f aca="true" t="shared" si="4" ref="Y12:Y29">SUM(M12:X12)</f>
        <v>853.1999999999999</v>
      </c>
      <c r="Z12" s="75">
        <f aca="true" t="shared" si="5" ref="Z12:Z27">SUM(C12:X12)</f>
        <v>547928.1099999998</v>
      </c>
    </row>
    <row r="13" spans="1:26" ht="14.25" customHeight="1" thickBot="1">
      <c r="A13" s="35" t="s">
        <v>29</v>
      </c>
      <c r="B13" s="30" t="s">
        <v>59</v>
      </c>
      <c r="C13" s="42">
        <v>61442.33</v>
      </c>
      <c r="D13" s="62">
        <v>27381.47</v>
      </c>
      <c r="E13" s="42">
        <f>234.28+2167.2</f>
        <v>2401.48</v>
      </c>
      <c r="F13" s="42">
        <v>2788.5</v>
      </c>
      <c r="G13" s="42">
        <f>7756.9+6495</f>
        <v>14251.9</v>
      </c>
      <c r="H13" s="42">
        <v>14076.56</v>
      </c>
      <c r="I13" s="42">
        <v>167.36</v>
      </c>
      <c r="J13" s="42">
        <v>9603.23</v>
      </c>
      <c r="K13" s="42">
        <v>5259.5</v>
      </c>
      <c r="L13" s="42">
        <v>1330</v>
      </c>
      <c r="M13" s="9"/>
      <c r="N13" s="10">
        <v>19200</v>
      </c>
      <c r="O13" s="10"/>
      <c r="P13" s="10"/>
      <c r="Q13" s="10"/>
      <c r="R13" s="10"/>
      <c r="S13" s="10"/>
      <c r="T13" s="10">
        <v>1200</v>
      </c>
      <c r="U13" s="10"/>
      <c r="V13" s="10"/>
      <c r="W13" s="10"/>
      <c r="X13" s="16"/>
      <c r="Y13" s="53">
        <f>SUM(M13:X13)</f>
        <v>20400</v>
      </c>
      <c r="Z13" s="75">
        <f>SUM(C13:X13)</f>
        <v>159102.33</v>
      </c>
    </row>
    <row r="14" spans="1:26" ht="16.5" customHeight="1" thickBot="1">
      <c r="A14" s="35" t="s">
        <v>30</v>
      </c>
      <c r="B14" s="28" t="s">
        <v>4</v>
      </c>
      <c r="C14" s="42">
        <v>6060.24</v>
      </c>
      <c r="D14" s="62">
        <v>1539.63</v>
      </c>
      <c r="E14" s="42">
        <v>0</v>
      </c>
      <c r="F14" s="42">
        <v>8216.34</v>
      </c>
      <c r="G14" s="42"/>
      <c r="H14" s="42">
        <v>0</v>
      </c>
      <c r="I14" s="42">
        <v>11250.9</v>
      </c>
      <c r="J14" s="42">
        <v>0</v>
      </c>
      <c r="K14" s="42">
        <v>14143.23</v>
      </c>
      <c r="L14" s="42">
        <v>7807.6</v>
      </c>
      <c r="M14" s="9"/>
      <c r="N14" s="10"/>
      <c r="O14" s="10"/>
      <c r="P14" s="10"/>
      <c r="Q14" s="10"/>
      <c r="R14" s="10"/>
      <c r="S14" s="10"/>
      <c r="T14" s="10"/>
      <c r="U14" s="10"/>
      <c r="V14" s="10">
        <v>8161.7</v>
      </c>
      <c r="W14" s="10"/>
      <c r="X14" s="16"/>
      <c r="Y14" s="53">
        <f t="shared" si="4"/>
        <v>8161.7</v>
      </c>
      <c r="Z14" s="75">
        <f>SUM(C14:X14)</f>
        <v>57179.63999999999</v>
      </c>
    </row>
    <row r="15" spans="1:26" ht="14.25" customHeight="1" thickBot="1">
      <c r="A15" s="35" t="s">
        <v>61</v>
      </c>
      <c r="B15" s="28" t="s">
        <v>60</v>
      </c>
      <c r="C15" s="42"/>
      <c r="D15" s="62"/>
      <c r="E15" s="42"/>
      <c r="F15" s="42"/>
      <c r="G15" s="42"/>
      <c r="H15" s="42">
        <v>2800</v>
      </c>
      <c r="I15" s="42">
        <v>3700</v>
      </c>
      <c r="J15" s="42">
        <v>2600</v>
      </c>
      <c r="K15" s="42">
        <v>2600</v>
      </c>
      <c r="L15" s="42">
        <v>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6"/>
      <c r="Y15" s="53">
        <f>SUM(M15:X15)</f>
        <v>0</v>
      </c>
      <c r="Z15" s="75">
        <f>SUM(C15:X15)</f>
        <v>11700</v>
      </c>
    </row>
    <row r="16" spans="1:26" ht="15.75" customHeight="1" thickBot="1">
      <c r="A16" s="35" t="s">
        <v>31</v>
      </c>
      <c r="B16" s="30" t="s">
        <v>52</v>
      </c>
      <c r="C16" s="42">
        <v>3826.1</v>
      </c>
      <c r="D16" s="62">
        <v>24499.88</v>
      </c>
      <c r="E16" s="42">
        <v>13752.1</v>
      </c>
      <c r="F16" s="42">
        <v>11900.26</v>
      </c>
      <c r="G16" s="42">
        <v>67826.81</v>
      </c>
      <c r="H16" s="42">
        <v>4977.25</v>
      </c>
      <c r="I16" s="42">
        <v>6198.39</v>
      </c>
      <c r="J16" s="42">
        <v>3553.06</v>
      </c>
      <c r="K16" s="42">
        <v>28717.81</v>
      </c>
      <c r="L16" s="42">
        <v>6783.75</v>
      </c>
      <c r="M16" s="9"/>
      <c r="N16" s="10">
        <v>75</v>
      </c>
      <c r="O16" s="10">
        <v>75</v>
      </c>
      <c r="P16" s="10">
        <v>918.24</v>
      </c>
      <c r="Q16" s="10">
        <v>60</v>
      </c>
      <c r="R16" s="10">
        <v>75</v>
      </c>
      <c r="S16" s="10">
        <v>45</v>
      </c>
      <c r="T16" s="10">
        <v>60</v>
      </c>
      <c r="U16" s="10">
        <v>1114.4</v>
      </c>
      <c r="V16" s="10">
        <v>1224.01</v>
      </c>
      <c r="W16" s="10">
        <v>60</v>
      </c>
      <c r="X16" s="16">
        <v>80</v>
      </c>
      <c r="Y16" s="53">
        <f t="shared" si="4"/>
        <v>3786.6500000000005</v>
      </c>
      <c r="Z16" s="75">
        <f t="shared" si="5"/>
        <v>175822.06</v>
      </c>
    </row>
    <row r="17" spans="1:26" ht="12.75" customHeight="1" thickBot="1">
      <c r="A17" s="35" t="s">
        <v>32</v>
      </c>
      <c r="B17" s="30" t="s">
        <v>72</v>
      </c>
      <c r="C17" s="42">
        <v>0</v>
      </c>
      <c r="D17" s="62">
        <v>7226.16</v>
      </c>
      <c r="E17" s="42">
        <v>256</v>
      </c>
      <c r="F17" s="42">
        <v>0</v>
      </c>
      <c r="G17" s="42">
        <v>9025.86</v>
      </c>
      <c r="H17" s="42">
        <v>900</v>
      </c>
      <c r="I17" s="42">
        <v>1086</v>
      </c>
      <c r="J17" s="42">
        <v>457.78</v>
      </c>
      <c r="K17" s="42">
        <v>92</v>
      </c>
      <c r="L17" s="42">
        <v>305.43</v>
      </c>
      <c r="M17" s="9">
        <v>120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6"/>
      <c r="Y17" s="53">
        <f t="shared" si="4"/>
        <v>120</v>
      </c>
      <c r="Z17" s="75">
        <f t="shared" si="5"/>
        <v>19469.23</v>
      </c>
    </row>
    <row r="18" spans="1:26" ht="15.75" customHeight="1" thickBot="1">
      <c r="A18" s="35" t="s">
        <v>33</v>
      </c>
      <c r="B18" s="30" t="s">
        <v>68</v>
      </c>
      <c r="C18" s="42">
        <v>5803.16</v>
      </c>
      <c r="D18" s="62">
        <v>7382.94</v>
      </c>
      <c r="E18" s="42">
        <v>4666.27</v>
      </c>
      <c r="F18" s="42">
        <v>0</v>
      </c>
      <c r="G18" s="42"/>
      <c r="H18" s="42">
        <v>0</v>
      </c>
      <c r="I18" s="42">
        <v>0</v>
      </c>
      <c r="J18" s="42">
        <v>20812.93</v>
      </c>
      <c r="K18" s="42">
        <v>12063.68</v>
      </c>
      <c r="L18" s="42">
        <v>0</v>
      </c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53">
        <f t="shared" si="4"/>
        <v>0</v>
      </c>
      <c r="Z18" s="75">
        <f t="shared" si="5"/>
        <v>50728.98</v>
      </c>
    </row>
    <row r="19" spans="1:26" ht="15.75" customHeight="1" thickBot="1">
      <c r="A19" s="35"/>
      <c r="B19" s="30" t="s">
        <v>70</v>
      </c>
      <c r="C19" s="42"/>
      <c r="D19" s="62"/>
      <c r="E19" s="42"/>
      <c r="F19" s="42"/>
      <c r="G19" s="42"/>
      <c r="H19" s="42"/>
      <c r="I19" s="42"/>
      <c r="J19" s="42">
        <v>1092.84</v>
      </c>
      <c r="K19" s="42">
        <v>1128.96</v>
      </c>
      <c r="L19" s="42">
        <v>1142.82</v>
      </c>
      <c r="M19" s="9">
        <v>96.1</v>
      </c>
      <c r="N19" s="9">
        <v>96.1</v>
      </c>
      <c r="O19" s="9">
        <v>96.1</v>
      </c>
      <c r="P19" s="9">
        <v>96.1</v>
      </c>
      <c r="Q19" s="9">
        <v>96.1</v>
      </c>
      <c r="R19" s="9">
        <v>96.1</v>
      </c>
      <c r="S19" s="9">
        <v>100</v>
      </c>
      <c r="T19" s="9">
        <v>100</v>
      </c>
      <c r="U19" s="9">
        <v>100</v>
      </c>
      <c r="V19" s="9">
        <v>100</v>
      </c>
      <c r="W19" s="9">
        <v>100</v>
      </c>
      <c r="X19" s="9">
        <v>100</v>
      </c>
      <c r="Y19" s="53">
        <f t="shared" si="4"/>
        <v>1176.6</v>
      </c>
      <c r="Z19" s="75">
        <f t="shared" si="5"/>
        <v>4541.219999999999</v>
      </c>
    </row>
    <row r="20" spans="1:26" ht="15.75" customHeight="1" thickBot="1">
      <c r="A20" s="35"/>
      <c r="B20" s="30" t="s">
        <v>69</v>
      </c>
      <c r="C20" s="42"/>
      <c r="D20" s="62"/>
      <c r="E20" s="42"/>
      <c r="F20" s="42"/>
      <c r="G20" s="42"/>
      <c r="H20" s="42"/>
      <c r="I20" s="42"/>
      <c r="J20" s="42">
        <v>5337.88</v>
      </c>
      <c r="K20" s="42">
        <v>4592.58</v>
      </c>
      <c r="L20" s="42">
        <v>4713.54</v>
      </c>
      <c r="M20" s="9">
        <v>398.24</v>
      </c>
      <c r="N20" s="9">
        <v>398.24</v>
      </c>
      <c r="O20" s="9">
        <v>398.24</v>
      </c>
      <c r="P20" s="9">
        <v>398.24</v>
      </c>
      <c r="Q20" s="9">
        <v>398.24</v>
      </c>
      <c r="R20" s="9">
        <v>398.24</v>
      </c>
      <c r="S20" s="9">
        <v>412.54</v>
      </c>
      <c r="T20" s="9">
        <v>412.54</v>
      </c>
      <c r="U20" s="9">
        <v>412.54</v>
      </c>
      <c r="V20" s="9">
        <v>412.54</v>
      </c>
      <c r="W20" s="9">
        <v>412.54</v>
      </c>
      <c r="X20" s="9">
        <v>412.54</v>
      </c>
      <c r="Y20" s="53">
        <f t="shared" si="4"/>
        <v>4864.68</v>
      </c>
      <c r="Z20" s="75">
        <f t="shared" si="5"/>
        <v>19508.680000000008</v>
      </c>
    </row>
    <row r="21" spans="1:26" ht="15.75" customHeight="1" thickBot="1">
      <c r="A21" s="35"/>
      <c r="B21" s="30" t="s">
        <v>71</v>
      </c>
      <c r="C21" s="42"/>
      <c r="D21" s="62"/>
      <c r="E21" s="42"/>
      <c r="F21" s="42"/>
      <c r="G21" s="42"/>
      <c r="H21" s="42"/>
      <c r="I21" s="42"/>
      <c r="J21" s="42">
        <v>951.72</v>
      </c>
      <c r="K21" s="42">
        <v>1644.06</v>
      </c>
      <c r="L21" s="42">
        <v>1728.58</v>
      </c>
      <c r="M21" s="9">
        <v>153.09</v>
      </c>
      <c r="N21" s="9">
        <v>153.09</v>
      </c>
      <c r="O21" s="9">
        <v>153.09</v>
      </c>
      <c r="P21" s="9">
        <v>153.09</v>
      </c>
      <c r="Q21" s="9">
        <v>153.09</v>
      </c>
      <c r="R21" s="9">
        <v>153.09</v>
      </c>
      <c r="S21" s="9">
        <v>153.33</v>
      </c>
      <c r="T21" s="9">
        <v>153.33</v>
      </c>
      <c r="U21" s="9">
        <v>153.33</v>
      </c>
      <c r="V21" s="9">
        <v>153.33</v>
      </c>
      <c r="W21" s="9">
        <v>153.33</v>
      </c>
      <c r="X21" s="9">
        <v>153.33</v>
      </c>
      <c r="Y21" s="53">
        <f>SUM(M21:X21)</f>
        <v>1838.5199999999998</v>
      </c>
      <c r="Z21" s="75">
        <f>SUM(C21:X21)</f>
        <v>6162.88</v>
      </c>
    </row>
    <row r="22" spans="1:26" ht="12.75" customHeight="1" thickBot="1">
      <c r="A22" s="35" t="s">
        <v>34</v>
      </c>
      <c r="B22" s="30" t="s">
        <v>5</v>
      </c>
      <c r="C22" s="42">
        <v>1239.08</v>
      </c>
      <c r="D22" s="62">
        <v>2303.15</v>
      </c>
      <c r="E22" s="42">
        <v>1754.08</v>
      </c>
      <c r="F22" s="42">
        <v>927.78</v>
      </c>
      <c r="G22" s="42">
        <v>939.57</v>
      </c>
      <c r="H22" s="42">
        <v>1116.33</v>
      </c>
      <c r="I22" s="42">
        <v>710.57</v>
      </c>
      <c r="J22" s="42">
        <v>1111.41</v>
      </c>
      <c r="K22" s="42">
        <v>747.22</v>
      </c>
      <c r="L22" s="42">
        <v>954.24</v>
      </c>
      <c r="M22" s="9"/>
      <c r="N22" s="10"/>
      <c r="O22" s="10">
        <v>258.06</v>
      </c>
      <c r="P22" s="10"/>
      <c r="Q22" s="10"/>
      <c r="R22" s="10"/>
      <c r="S22" s="10"/>
      <c r="T22" s="10"/>
      <c r="U22" s="10">
        <v>265.9</v>
      </c>
      <c r="V22" s="10"/>
      <c r="W22" s="10"/>
      <c r="X22" s="16">
        <v>250.06</v>
      </c>
      <c r="Y22" s="53">
        <f t="shared" si="4"/>
        <v>774.02</v>
      </c>
      <c r="Z22" s="75">
        <f t="shared" si="5"/>
        <v>12577.449999999995</v>
      </c>
    </row>
    <row r="23" spans="1:26" ht="23.25" customHeight="1" thickBot="1">
      <c r="A23" s="35" t="s">
        <v>35</v>
      </c>
      <c r="B23" s="30" t="s">
        <v>73</v>
      </c>
      <c r="C23" s="42">
        <v>3606.83</v>
      </c>
      <c r="D23" s="62">
        <v>12833.43</v>
      </c>
      <c r="E23" s="42">
        <v>16434.38</v>
      </c>
      <c r="F23" s="42">
        <v>15789.85</v>
      </c>
      <c r="G23" s="42">
        <v>10704.16</v>
      </c>
      <c r="H23" s="42">
        <v>12599.86</v>
      </c>
      <c r="I23" s="42">
        <v>13320.08</v>
      </c>
      <c r="J23" s="42">
        <v>13521.07</v>
      </c>
      <c r="K23" s="42">
        <v>14194.32</v>
      </c>
      <c r="L23" s="42">
        <v>11489.52</v>
      </c>
      <c r="M23" s="9">
        <v>844.16</v>
      </c>
      <c r="N23" s="10">
        <v>756.53</v>
      </c>
      <c r="O23" s="10">
        <v>940.55</v>
      </c>
      <c r="P23" s="10">
        <v>735.28</v>
      </c>
      <c r="Q23" s="10">
        <v>760.79</v>
      </c>
      <c r="R23" s="10">
        <v>767.91</v>
      </c>
      <c r="S23" s="10">
        <v>888.14</v>
      </c>
      <c r="T23" s="10">
        <v>1106.83</v>
      </c>
      <c r="U23" s="10">
        <v>1062.1</v>
      </c>
      <c r="V23" s="10">
        <v>1234.47</v>
      </c>
      <c r="W23" s="10">
        <v>1147.28</v>
      </c>
      <c r="X23" s="16">
        <v>1047.29</v>
      </c>
      <c r="Y23" s="53">
        <f t="shared" si="4"/>
        <v>11291.329999999998</v>
      </c>
      <c r="Z23" s="75">
        <f t="shared" si="5"/>
        <v>135784.83000000002</v>
      </c>
    </row>
    <row r="24" spans="1:26" ht="28.5" customHeight="1" thickBot="1">
      <c r="A24" s="35" t="s">
        <v>36</v>
      </c>
      <c r="B24" s="30" t="s">
        <v>62</v>
      </c>
      <c r="C24" s="42">
        <v>6377.09</v>
      </c>
      <c r="D24" s="62">
        <v>6988.71</v>
      </c>
      <c r="E24" s="42">
        <v>2092.66</v>
      </c>
      <c r="F24" s="42">
        <v>1484.16</v>
      </c>
      <c r="G24" s="42">
        <v>3220.59</v>
      </c>
      <c r="H24" s="42">
        <v>2171.47</v>
      </c>
      <c r="I24" s="42">
        <v>1894.76</v>
      </c>
      <c r="J24" s="42">
        <v>1479.06</v>
      </c>
      <c r="K24" s="42">
        <v>1431.8</v>
      </c>
      <c r="L24" s="42">
        <v>1301.08</v>
      </c>
      <c r="M24" s="9">
        <v>48.47</v>
      </c>
      <c r="N24" s="10">
        <v>68.67</v>
      </c>
      <c r="O24" s="10">
        <v>65.79</v>
      </c>
      <c r="P24" s="10">
        <v>65.72</v>
      </c>
      <c r="Q24" s="10">
        <v>64.09</v>
      </c>
      <c r="R24" s="10">
        <v>56</v>
      </c>
      <c r="S24" s="10">
        <v>126.3</v>
      </c>
      <c r="T24" s="10">
        <v>65.64</v>
      </c>
      <c r="U24" s="10">
        <v>40.03</v>
      </c>
      <c r="V24" s="10">
        <v>120.9</v>
      </c>
      <c r="W24" s="10">
        <v>51.94</v>
      </c>
      <c r="X24" s="16">
        <v>141.47</v>
      </c>
      <c r="Y24" s="53">
        <f t="shared" si="4"/>
        <v>915.02</v>
      </c>
      <c r="Z24" s="75">
        <f t="shared" si="5"/>
        <v>29356.399999999998</v>
      </c>
    </row>
    <row r="25" spans="1:26" ht="35.25" customHeight="1" thickBot="1">
      <c r="A25" s="35" t="s">
        <v>37</v>
      </c>
      <c r="B25" s="30" t="s">
        <v>64</v>
      </c>
      <c r="C25" s="42">
        <v>5729.15</v>
      </c>
      <c r="D25" s="62">
        <v>11140.65</v>
      </c>
      <c r="E25" s="42">
        <v>10876.07</v>
      </c>
      <c r="F25" s="42">
        <v>14559.36</v>
      </c>
      <c r="G25" s="42">
        <v>12483.01</v>
      </c>
      <c r="H25" s="42">
        <v>16153.7</v>
      </c>
      <c r="I25" s="42">
        <v>13860.39</v>
      </c>
      <c r="J25" s="42">
        <v>14586.83</v>
      </c>
      <c r="K25" s="42">
        <v>15962.2</v>
      </c>
      <c r="L25" s="42">
        <v>17355.29</v>
      </c>
      <c r="M25" s="9">
        <f>34.48+454.19+740.64</f>
        <v>1229.31</v>
      </c>
      <c r="N25" s="10">
        <f>35.76+533.41+794.36</f>
        <v>1363.53</v>
      </c>
      <c r="O25" s="10">
        <f>34.11+481.19+814.35</f>
        <v>1329.65</v>
      </c>
      <c r="P25" s="10">
        <f>42.35+566.02+760.27</f>
        <v>1368.6399999999999</v>
      </c>
      <c r="Q25" s="10">
        <f>35.66+707.33+754.6</f>
        <v>1497.5900000000001</v>
      </c>
      <c r="R25" s="10">
        <f>34.61+597.07+711.72</f>
        <v>1343.4</v>
      </c>
      <c r="S25" s="10">
        <f>37.41+487.28+722.07</f>
        <v>1246.76</v>
      </c>
      <c r="T25" s="10">
        <f>700.73+35.36+491.36</f>
        <v>1227.45</v>
      </c>
      <c r="U25" s="10">
        <f>633.37+1082.05</f>
        <v>1715.42</v>
      </c>
      <c r="V25" s="10">
        <f>37.25+1057.69+1053.07</f>
        <v>2148.01</v>
      </c>
      <c r="W25" s="10">
        <f>40.93+848.82+1013.03</f>
        <v>1902.78</v>
      </c>
      <c r="X25" s="16">
        <f>46.19+1179.33+929.49</f>
        <v>2155.01</v>
      </c>
      <c r="Y25" s="53">
        <f t="shared" si="4"/>
        <v>18527.550000000003</v>
      </c>
      <c r="Z25" s="75">
        <f t="shared" si="5"/>
        <v>151234.20000000004</v>
      </c>
    </row>
    <row r="26" spans="1:26" ht="15.75" customHeight="1" thickBot="1">
      <c r="A26" s="35" t="s">
        <v>53</v>
      </c>
      <c r="B26" s="30" t="s">
        <v>8</v>
      </c>
      <c r="C26" s="42">
        <v>57543.19</v>
      </c>
      <c r="D26" s="62">
        <v>108513.14</v>
      </c>
      <c r="E26" s="42">
        <v>136627.03</v>
      </c>
      <c r="F26" s="42">
        <v>144451.92</v>
      </c>
      <c r="G26" s="42">
        <v>146958.64</v>
      </c>
      <c r="H26" s="42">
        <v>160191.54</v>
      </c>
      <c r="I26" s="42">
        <v>155466.74</v>
      </c>
      <c r="J26" s="42">
        <v>154136.5</v>
      </c>
      <c r="K26" s="42">
        <v>166306.7</v>
      </c>
      <c r="L26" s="42">
        <v>180113.25</v>
      </c>
      <c r="M26" s="9">
        <f>26454.52-9034.7</f>
        <v>17419.82</v>
      </c>
      <c r="N26" s="10">
        <f>43282.06-27411.76</f>
        <v>15870.3</v>
      </c>
      <c r="O26" s="10">
        <f>24849.27-8662.14</f>
        <v>16187.130000000001</v>
      </c>
      <c r="P26" s="10">
        <f>24990.23-9212.61</f>
        <v>15777.619999999999</v>
      </c>
      <c r="Q26" s="10">
        <f>24730.48-8640.19</f>
        <v>16090.289999999999</v>
      </c>
      <c r="R26" s="10">
        <f>25194.39-9048.83</f>
        <v>16145.56</v>
      </c>
      <c r="S26" s="10">
        <f>26603.17-8420.35</f>
        <v>18182.82</v>
      </c>
      <c r="T26" s="10">
        <f>28237.65-10150.72</f>
        <v>18086.93</v>
      </c>
      <c r="U26" s="10">
        <f>29464.62-10959.53</f>
        <v>18505.089999999997</v>
      </c>
      <c r="V26" s="10">
        <f>37975.53-19102.25</f>
        <v>18873.28</v>
      </c>
      <c r="W26" s="10">
        <f>30001.56-9708.08</f>
        <v>20293.480000000003</v>
      </c>
      <c r="X26" s="16">
        <f>31286.9-10397.04</f>
        <v>20889.86</v>
      </c>
      <c r="Y26" s="53">
        <f t="shared" si="4"/>
        <v>212322.18</v>
      </c>
      <c r="Z26" s="75">
        <f t="shared" si="5"/>
        <v>1622630.8300000005</v>
      </c>
    </row>
    <row r="27" spans="1:26" ht="13.5" customHeight="1" thickBot="1">
      <c r="A27" s="35" t="s">
        <v>54</v>
      </c>
      <c r="B27" s="31" t="s">
        <v>3</v>
      </c>
      <c r="C27" s="43">
        <v>8585.9</v>
      </c>
      <c r="D27" s="63">
        <v>17977.86</v>
      </c>
      <c r="E27" s="43">
        <v>41469.91</v>
      </c>
      <c r="F27" s="43">
        <v>49290.65</v>
      </c>
      <c r="G27" s="43">
        <v>54382.34</v>
      </c>
      <c r="H27" s="43">
        <v>54369.78</v>
      </c>
      <c r="I27" s="43">
        <v>57510.88</v>
      </c>
      <c r="J27" s="77">
        <v>60645.53</v>
      </c>
      <c r="K27" s="77">
        <v>66537.06</v>
      </c>
      <c r="L27" s="77">
        <v>70360.93</v>
      </c>
      <c r="M27" s="9">
        <f>5320.6+22.53+802.2</f>
        <v>6145.33</v>
      </c>
      <c r="N27" s="11">
        <f>4449+22.14+788.54</f>
        <v>5259.68</v>
      </c>
      <c r="O27" s="11">
        <f>4483+22.8+792.27</f>
        <v>5298.07</v>
      </c>
      <c r="P27" s="11">
        <f>4633.8+24.84+765.31</f>
        <v>5423.950000000001</v>
      </c>
      <c r="Q27" s="11">
        <f>4708.7+25.79+790.35</f>
        <v>5524.84</v>
      </c>
      <c r="R27" s="11">
        <f>5208.1+27.8+860.33</f>
        <v>6096.2300000000005</v>
      </c>
      <c r="S27" s="11">
        <f>4537.3+24.32+787.94</f>
        <v>5349.5599999999995</v>
      </c>
      <c r="T27" s="11">
        <f>4898.3+23.97+800.46</f>
        <v>5722.7300000000005</v>
      </c>
      <c r="U27" s="11">
        <f>5038.8+27.85+788.95</f>
        <v>5855.6</v>
      </c>
      <c r="V27" s="11">
        <f>4578.4+25.85+839</f>
        <v>5443.25</v>
      </c>
      <c r="W27" s="11">
        <f>5006.3+24.96+841.28</f>
        <v>5872.54</v>
      </c>
      <c r="X27" s="18">
        <f>5141.9+25.87+879.38</f>
        <v>6047.15</v>
      </c>
      <c r="Y27" s="53">
        <f t="shared" si="4"/>
        <v>68038.93000000001</v>
      </c>
      <c r="Z27" s="75">
        <f t="shared" si="5"/>
        <v>549169.77</v>
      </c>
    </row>
    <row r="28" spans="1:26" ht="13.5" customHeight="1" thickBot="1">
      <c r="A28" s="35"/>
      <c r="B28" s="38" t="s">
        <v>57</v>
      </c>
      <c r="C28" s="65"/>
      <c r="D28" s="66"/>
      <c r="E28" s="65"/>
      <c r="F28" s="65"/>
      <c r="G28" s="68">
        <f>G8*5%</f>
        <v>14502.420000000002</v>
      </c>
      <c r="H28" s="68">
        <f>H8*5%</f>
        <v>14471.784</v>
      </c>
      <c r="I28" s="68">
        <f>I8*5%</f>
        <v>14467.552</v>
      </c>
      <c r="J28" s="68">
        <f>J8*5%</f>
        <v>14455.316</v>
      </c>
      <c r="K28" s="68">
        <f>K8*5%</f>
        <v>14440.320000000002</v>
      </c>
      <c r="L28" s="68">
        <f>(L8+L9)*5%</f>
        <v>13877.633000000002</v>
      </c>
      <c r="M28" s="67">
        <f>(M8+M9)*5%</f>
        <v>1157.6365</v>
      </c>
      <c r="N28" s="67">
        <f aca="true" t="shared" si="6" ref="N28:X28">(N8+N9)*5%</f>
        <v>1157.3355</v>
      </c>
      <c r="O28" s="67">
        <f t="shared" si="6"/>
        <v>1157.3355</v>
      </c>
      <c r="P28" s="67">
        <f t="shared" si="6"/>
        <v>1157.3355</v>
      </c>
      <c r="Q28" s="67">
        <f t="shared" si="6"/>
        <v>1157.3355</v>
      </c>
      <c r="R28" s="67">
        <f t="shared" si="6"/>
        <v>1157.3355</v>
      </c>
      <c r="S28" s="67">
        <f t="shared" si="6"/>
        <v>1158.2665</v>
      </c>
      <c r="T28" s="67">
        <f t="shared" si="6"/>
        <v>1158.2665</v>
      </c>
      <c r="U28" s="67">
        <f t="shared" si="6"/>
        <v>1158.2665</v>
      </c>
      <c r="V28" s="67">
        <f t="shared" si="6"/>
        <v>1158.2665</v>
      </c>
      <c r="W28" s="67">
        <f t="shared" si="6"/>
        <v>1157.4495</v>
      </c>
      <c r="X28" s="67">
        <f t="shared" si="6"/>
        <v>1157.4495</v>
      </c>
      <c r="Y28" s="68">
        <f t="shared" si="4"/>
        <v>13892.279</v>
      </c>
      <c r="Z28" s="76"/>
    </row>
    <row r="29" spans="1:26" ht="15.75" customHeight="1" thickBot="1">
      <c r="A29" s="35" t="s">
        <v>38</v>
      </c>
      <c r="B29" s="55" t="s">
        <v>48</v>
      </c>
      <c r="C29" s="56"/>
      <c r="D29" s="64"/>
      <c r="E29" s="56"/>
      <c r="F29" s="56"/>
      <c r="G29" s="56"/>
      <c r="H29" s="56"/>
      <c r="I29" s="56"/>
      <c r="J29" s="78">
        <f>SUM(J8+J9-J11)-J28</f>
        <v>-50334.48600000004</v>
      </c>
      <c r="K29" s="78">
        <f>SUM(K8+K9-K11)-K28</f>
        <v>-105327.21999999997</v>
      </c>
      <c r="L29" s="78">
        <f>SUM(L8+L9-L11)-L28</f>
        <v>-42342.65299999996</v>
      </c>
      <c r="M29" s="69">
        <f>SUM(M8+M9+M10-M11)-M28</f>
        <v>-4059.4264999999973</v>
      </c>
      <c r="N29" s="69">
        <f aca="true" t="shared" si="7" ref="N29:X29">SUM(N8+N9+N10-N11)-N28</f>
        <v>-20892.685499999992</v>
      </c>
      <c r="O29" s="69">
        <f t="shared" si="7"/>
        <v>-2459.8955000000014</v>
      </c>
      <c r="P29" s="69">
        <f t="shared" si="7"/>
        <v>-2600.8555000000006</v>
      </c>
      <c r="Q29" s="69">
        <f t="shared" si="7"/>
        <v>-2341.1055000000006</v>
      </c>
      <c r="R29" s="69">
        <f t="shared" si="7"/>
        <v>-2805.0155000000004</v>
      </c>
      <c r="S29" s="69">
        <f t="shared" si="7"/>
        <v>-4196.1065</v>
      </c>
      <c r="T29" s="69">
        <f t="shared" si="7"/>
        <v>-5830.586499999999</v>
      </c>
      <c r="U29" s="69">
        <f t="shared" si="7"/>
        <v>-7057.556499999997</v>
      </c>
      <c r="V29" s="69">
        <f t="shared" si="7"/>
        <v>-15568.4665</v>
      </c>
      <c r="W29" s="69">
        <f t="shared" si="7"/>
        <v>-7610.019500000007</v>
      </c>
      <c r="X29" s="69">
        <f t="shared" si="7"/>
        <v>-8895.359500000004</v>
      </c>
      <c r="Y29" s="68">
        <f t="shared" si="4"/>
        <v>-84317.07900000001</v>
      </c>
      <c r="Z29" s="76"/>
    </row>
    <row r="30" spans="1:26" ht="21.75" customHeight="1" thickBot="1">
      <c r="A30" s="35" t="s">
        <v>39</v>
      </c>
      <c r="B30" s="86" t="s">
        <v>22</v>
      </c>
      <c r="C30" s="87">
        <v>65634.19</v>
      </c>
      <c r="D30" s="88">
        <f>SUM(D8-D11)</f>
        <v>9590.169999999984</v>
      </c>
      <c r="E30" s="89">
        <f>SUM(E8-E11)</f>
        <v>3959.6600000000326</v>
      </c>
      <c r="F30" s="89">
        <f>SUM(F8-F11)</f>
        <v>-25103.119999999995</v>
      </c>
      <c r="G30" s="90">
        <f>SUM(G8-G11)-G28</f>
        <v>-113598.89999999998</v>
      </c>
      <c r="H30" s="90">
        <f>SUM(H8-H11)-H28</f>
        <v>-61038.66400000006</v>
      </c>
      <c r="I30" s="91">
        <f>SUM(I8-I11)-I28</f>
        <v>-53450.372</v>
      </c>
      <c r="J30" s="90">
        <f>SUM(J8+J9-J11)-J28</f>
        <v>-50334.48600000004</v>
      </c>
      <c r="K30" s="91">
        <f>SUM(K8+K9-K11)-K28</f>
        <v>-105327.21999999997</v>
      </c>
      <c r="L30" s="90">
        <f>SUM(L8+L9-L11)-L28</f>
        <v>-42342.65299999996</v>
      </c>
      <c r="M30" s="92">
        <f>SUM(M8+M9+M10-M11)-M28</f>
        <v>-4059.4264999999973</v>
      </c>
      <c r="N30" s="93">
        <f>SUM(N29+M30)</f>
        <v>-24952.11199999999</v>
      </c>
      <c r="O30" s="93">
        <f aca="true" t="shared" si="8" ref="O30:X30">SUM(O29+N30)</f>
        <v>-27412.007499999992</v>
      </c>
      <c r="P30" s="93">
        <f t="shared" si="8"/>
        <v>-30012.862999999994</v>
      </c>
      <c r="Q30" s="93">
        <f t="shared" si="8"/>
        <v>-32353.968499999995</v>
      </c>
      <c r="R30" s="93">
        <f t="shared" si="8"/>
        <v>-35158.984</v>
      </c>
      <c r="S30" s="93">
        <f t="shared" si="8"/>
        <v>-39355.0905</v>
      </c>
      <c r="T30" s="93">
        <f t="shared" si="8"/>
        <v>-45185.676999999996</v>
      </c>
      <c r="U30" s="93">
        <f t="shared" si="8"/>
        <v>-52243.233499999995</v>
      </c>
      <c r="V30" s="93">
        <f t="shared" si="8"/>
        <v>-67811.7</v>
      </c>
      <c r="W30" s="93">
        <f t="shared" si="8"/>
        <v>-75421.7195</v>
      </c>
      <c r="X30" s="93">
        <f t="shared" si="8"/>
        <v>-84317.07900000001</v>
      </c>
      <c r="Y30" s="89"/>
      <c r="Z30" s="94"/>
    </row>
    <row r="31" spans="1:26" ht="21.75" customHeight="1" thickBot="1">
      <c r="A31" s="35" t="s">
        <v>40</v>
      </c>
      <c r="B31" s="44" t="s">
        <v>23</v>
      </c>
      <c r="C31" s="38">
        <v>65634.19</v>
      </c>
      <c r="D31" s="17">
        <f>SUM(D8-D11,C31)</f>
        <v>75224.35999999999</v>
      </c>
      <c r="E31" s="53">
        <f>SUM(E8-E11,D31)</f>
        <v>79184.02000000002</v>
      </c>
      <c r="F31" s="53">
        <f>SUM(F8-F11,E31)</f>
        <v>54080.90000000002</v>
      </c>
      <c r="G31" s="71">
        <f aca="true" t="shared" si="9" ref="G31:M31">SUM(G30+F31)</f>
        <v>-59517.999999999956</v>
      </c>
      <c r="H31" s="71">
        <f t="shared" si="9"/>
        <v>-120556.66400000002</v>
      </c>
      <c r="I31" s="71">
        <f t="shared" si="9"/>
        <v>-174007.03600000002</v>
      </c>
      <c r="J31" s="71">
        <f t="shared" si="9"/>
        <v>-224341.52200000006</v>
      </c>
      <c r="K31" s="71">
        <f t="shared" si="9"/>
        <v>-329668.742</v>
      </c>
      <c r="L31" s="71">
        <f t="shared" si="9"/>
        <v>-372011.395</v>
      </c>
      <c r="M31" s="71">
        <f t="shared" si="9"/>
        <v>-376070.8215</v>
      </c>
      <c r="N31" s="70">
        <f>SUM(N29+M31)</f>
        <v>-396963.507</v>
      </c>
      <c r="O31" s="70">
        <f>SUM(O29+N31)</f>
        <v>-399423.40249999997</v>
      </c>
      <c r="P31" s="70">
        <f aca="true" t="shared" si="10" ref="P31:W31">SUM(P29+O31)</f>
        <v>-402024.258</v>
      </c>
      <c r="Q31" s="70">
        <f t="shared" si="10"/>
        <v>-404365.3635</v>
      </c>
      <c r="R31" s="70">
        <f t="shared" si="10"/>
        <v>-407170.37899999996</v>
      </c>
      <c r="S31" s="70">
        <f t="shared" si="10"/>
        <v>-411366.48549999995</v>
      </c>
      <c r="T31" s="70">
        <f t="shared" si="10"/>
        <v>-417197.0719999999</v>
      </c>
      <c r="U31" s="70">
        <f t="shared" si="10"/>
        <v>-424254.62849999993</v>
      </c>
      <c r="V31" s="70">
        <f t="shared" si="10"/>
        <v>-439823.0949999999</v>
      </c>
      <c r="W31" s="70">
        <f t="shared" si="10"/>
        <v>-447433.1144999999</v>
      </c>
      <c r="X31" s="70">
        <f>SUM(X29+W31)</f>
        <v>-456328.47399999993</v>
      </c>
      <c r="Y31" s="53"/>
      <c r="Z31" s="46"/>
    </row>
    <row r="32" spans="1:26" ht="0.75" customHeight="1" hidden="1" thickBot="1">
      <c r="A32" s="35" t="s">
        <v>41</v>
      </c>
      <c r="B32" s="44" t="s">
        <v>7</v>
      </c>
      <c r="C32" s="39"/>
      <c r="D32" s="39"/>
      <c r="E32" s="59"/>
      <c r="F32" s="59"/>
      <c r="G32" s="59"/>
      <c r="H32" s="59"/>
      <c r="I32" s="59"/>
      <c r="J32" s="59"/>
      <c r="K32" s="59"/>
      <c r="L32" s="59"/>
      <c r="M32" s="12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9"/>
      <c r="Y32" s="52"/>
      <c r="Z32" s="47"/>
    </row>
    <row r="33" spans="1:26" ht="15" customHeight="1" hidden="1" thickBot="1">
      <c r="A33" s="36" t="s">
        <v>42</v>
      </c>
      <c r="B33" s="32" t="s">
        <v>24</v>
      </c>
      <c r="C33" s="39"/>
      <c r="D33" s="39"/>
      <c r="E33" s="59"/>
      <c r="F33" s="59"/>
      <c r="G33" s="59"/>
      <c r="H33" s="59"/>
      <c r="I33" s="59"/>
      <c r="J33" s="59"/>
      <c r="K33" s="59"/>
      <c r="L33" s="59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9"/>
      <c r="Y33" s="53"/>
      <c r="Z33" s="48"/>
    </row>
    <row r="34" spans="1:26" ht="24" customHeight="1" hidden="1" thickBot="1">
      <c r="A34" s="36" t="s">
        <v>44</v>
      </c>
      <c r="B34" s="33" t="s">
        <v>50</v>
      </c>
      <c r="C34" s="40"/>
      <c r="D34" s="40"/>
      <c r="E34" s="57"/>
      <c r="F34" s="57"/>
      <c r="G34" s="57"/>
      <c r="H34" s="57"/>
      <c r="I34" s="57"/>
      <c r="J34" s="57"/>
      <c r="K34" s="57"/>
      <c r="L34" s="5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>
        <f>SUM(X30-X32)</f>
        <v>-84317.07900000001</v>
      </c>
      <c r="Y34" s="54"/>
      <c r="Z34" s="49"/>
    </row>
    <row r="35" spans="1:26" ht="35.25" customHeight="1" hidden="1" thickBot="1">
      <c r="A35" s="45" t="s">
        <v>46</v>
      </c>
      <c r="B35" s="33" t="s">
        <v>51</v>
      </c>
      <c r="C35" s="40"/>
      <c r="D35" s="57"/>
      <c r="E35" s="57"/>
      <c r="F35" s="57"/>
      <c r="G35" s="57"/>
      <c r="H35" s="57"/>
      <c r="I35" s="57"/>
      <c r="J35" s="57"/>
      <c r="K35" s="57"/>
      <c r="L35" s="5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>
        <f>SUM(X31-X32)</f>
        <v>-456328.47399999993</v>
      </c>
      <c r="Y35" s="54"/>
      <c r="Z35" s="49"/>
    </row>
    <row r="36" spans="3:26" ht="24" customHeight="1" hidden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</row>
    <row r="37" ht="15.75" customHeight="1" hidden="1"/>
    <row r="38" ht="0.75" customHeight="1" hidden="1"/>
    <row r="39" ht="12.75" hidden="1"/>
    <row r="40" ht="12.75" hidden="1"/>
    <row r="41" ht="12.75">
      <c r="B41" t="s">
        <v>63</v>
      </c>
    </row>
    <row r="45" ht="12.75" customHeight="1"/>
    <row r="46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2021-02-05T06:11:46Z</cp:lastPrinted>
  <dcterms:created xsi:type="dcterms:W3CDTF">2011-06-16T11:06:26Z</dcterms:created>
  <dcterms:modified xsi:type="dcterms:W3CDTF">2021-02-05T06:12:15Z</dcterms:modified>
  <cp:category/>
  <cp:version/>
  <cp:contentType/>
  <cp:contentStatus/>
</cp:coreProperties>
</file>