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<sst xmlns="http://schemas.openxmlformats.org/spreadsheetml/2006/main" count="81" uniqueCount="81">
  <si>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</si>
  <si>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</si>
  <si>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</si>
  <si>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</si>
  <si>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</si>
  <si>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</si>
  <si>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</si>
  <si>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</si>
  <si>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</si>
  <si>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</si>
  <si>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</si>
  <si>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</si>
  <si>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</si>
  <si>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</si>
  <si>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</si>
  <si>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</si>
  <si>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</si>
  <si>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</si>
  <si>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</si>
  <si>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</si>
  <si>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</si>
  <si>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</si>
  <si>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</si>
  <si>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</si>
  <si>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</si>
  <si>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</si>
  <si>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</si>
  <si>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</si>
  <si>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</si>
  <si>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</si>
  <si>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</si>
  <si>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</si>
  <si>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</si>
  <si>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</si>
  <si>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</si>
  <si>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</si>
  <si>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</si>
  <si>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</si>
  <si>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</si>
  <si>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</si>
  <si>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</si>
  <si>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</si>
  <si>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</si>
  <si>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</si>
  <si>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</si>
  <si>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</si>
  <si>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</si>
  <si>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Пролетарская д.5 А/1</t>
  </si>
  <si>
    <t>11</t>
  </si>
  <si>
    <t>Благоустройство территории</t>
  </si>
  <si>
    <t>Итого за 2011 г</t>
  </si>
  <si>
    <t>Результат за месяц</t>
  </si>
  <si>
    <t>Итого за 2012 г</t>
  </si>
  <si>
    <t>4.12</t>
  </si>
  <si>
    <t>4.13</t>
  </si>
  <si>
    <t>Материалы</t>
  </si>
  <si>
    <t>Итого за 2013 г</t>
  </si>
  <si>
    <t>Итого за 2014 г</t>
  </si>
  <si>
    <t>рентабельность 5%</t>
  </si>
  <si>
    <t>Итого за 2015 г</t>
  </si>
  <si>
    <t>Услуги стронних орган.</t>
  </si>
  <si>
    <t>Проверка вент.каналов</t>
  </si>
  <si>
    <t>4.4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</si>
  <si>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</si>
  <si>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</si>
  <si>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</si>
  <si>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</si>
  <si>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</si>
  <si>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</si>
  <si>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</si>
  <si>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</si>
  <si>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</si>
  <si>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Транспортные(ГСМ,зап.части,амортизация,страхов)</t>
  </si>
  <si>
    <t>Итого за 2018 г</t>
  </si>
  <si>
    <t>Итого за 2019 г</t>
  </si>
  <si>
    <t>Дом по ул.Пролетарская д.5 А/1 вступил в ООО "Наш дом" с апреля 2010 года          тариф 10,35 руб с января 2019 года тариф 9,6 руб.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</si>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</sst>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48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4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B1">
      <selection activeCell="B13" sqref="B13"/>
    </sheetView>
  </sheetViews>
  <sheetFormatPr defaultColWidth="9.00390625" defaultRowHeight="12.75"/>
  <cols>
    <col min="1" max="1" width="3.625" style="26" hidden="1" customWidth="1"/>
    <col min="2" max="2" width="21.375" style="0" customWidth="1"/>
    <col min="3" max="3" width="8.00390625" style="0" hidden="1" customWidth="1"/>
    <col min="4" max="4" width="8.625" style="0" hidden="1" customWidth="1"/>
    <col min="5" max="5" width="9.375" style="0" hidden="1" customWidth="1"/>
    <col min="6" max="6" width="9.75390625" style="0" hidden="1" customWidth="1"/>
    <col min="7" max="7" width="10.00390625" style="0" hidden="1" customWidth="1"/>
    <col min="8" max="9" width="10.25390625" style="0" hidden="1" customWidth="1"/>
    <col min="10" max="10" width="9.125" style="0" hidden="1" customWidth="1"/>
    <col min="11" max="11" width="9.75390625" style="0" hidden="1" customWidth="1"/>
    <col min="12" max="12" width="9.125" style="0" hidden="1" customWidth="1"/>
    <col min="13" max="13" width="9.25390625" style="0" customWidth="1"/>
    <col min="14" max="14" width="8.375" style="0" customWidth="1"/>
    <col min="15" max="15" width="9.00390625" style="0" customWidth="1"/>
    <col min="16" max="16" width="8.25390625" style="0" customWidth="1"/>
    <col min="17" max="17" width="9.00390625" style="0" customWidth="1"/>
    <col min="18" max="19" width="8.375" style="0" customWidth="1"/>
    <col min="20" max="21" width="8.875" style="0" customWidth="1"/>
    <col min="22" max="23" width="8.125" style="0" customWidth="1"/>
    <col min="24" max="24" width="8.625" style="0" customWidth="1"/>
    <col min="25" max="25" width="9.125" style="0" customWidth="1"/>
    <col min="26" max="26" width="10.75390625" style="0" customWidth="1"/>
  </cols>
  <sheetData>
    <row r="1" spans="2:31" ht="12.75" customHeight="1">
      <c r="B1" s="103" t="s">
        <v>76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3" t="s">
        <v>75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  <c r="X2" s="104"/>
      <c r="Y2" s="104"/>
      <c r="Z2" s="104"/>
      <c r="AA2" s="4"/>
      <c r="AB2" s="4"/>
      <c r="AC2" s="4"/>
      <c r="AD2" s="4"/>
      <c r="AE2" s="4"/>
    </row>
    <row r="3" spans="2:31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"/>
      <c r="AB3" s="3"/>
      <c r="AC3" s="3"/>
      <c r="AD3" s="3"/>
      <c r="AE3" s="3"/>
    </row>
    <row r="4" spans="2:31" ht="15" customHeight="1">
      <c r="B4" s="101" t="s">
        <v>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2"/>
      <c r="AC4" s="2"/>
      <c r="AD4" s="2"/>
      <c r="AE4" s="2"/>
    </row>
    <row r="5" spans="2:31" ht="16.5" customHeight="1" thickBot="1">
      <c r="B5" s="101" t="s">
        <v>47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3.75" customHeight="1" thickBot="1">
      <c r="A7" s="35" t="s">
        <v>26</v>
      </c>
      <c r="B7" s="27" t="s">
        <v>6</v>
      </c>
      <c r="C7" s="38" t="s">
        <v>44</v>
      </c>
      <c r="D7" s="66" t="s">
        <v>50</v>
      </c>
      <c r="E7" s="52" t="s">
        <v>52</v>
      </c>
      <c r="F7" s="52" t="s">
        <v>56</v>
      </c>
      <c r="G7" s="52" t="s">
        <v>57</v>
      </c>
      <c r="H7" s="52" t="s">
        <v>59</v>
      </c>
      <c r="I7" s="52" t="s">
        <v>66</v>
      </c>
      <c r="J7" s="52" t="s">
        <v>67</v>
      </c>
      <c r="K7" s="52" t="s">
        <v>73</v>
      </c>
      <c r="L7" s="52" t="s">
        <v>74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2" t="s">
        <v>77</v>
      </c>
      <c r="Z7" s="47" t="s">
        <v>78</v>
      </c>
      <c r="AA7" s="1"/>
      <c r="AB7" s="1"/>
      <c r="AC7" s="1"/>
      <c r="AD7" s="1"/>
      <c r="AE7" s="1"/>
    </row>
    <row r="8" spans="1:26" ht="13.5" thickBot="1">
      <c r="A8" s="36" t="s">
        <v>27</v>
      </c>
      <c r="B8" s="28" t="s">
        <v>1</v>
      </c>
      <c r="C8" s="62">
        <v>129914.12</v>
      </c>
      <c r="D8" s="67">
        <v>187687.87</v>
      </c>
      <c r="E8" s="63">
        <v>194809.97</v>
      </c>
      <c r="F8" s="62">
        <v>194717.78</v>
      </c>
      <c r="G8" s="63">
        <v>194684.64</v>
      </c>
      <c r="H8" s="62">
        <v>197884.64</v>
      </c>
      <c r="I8" s="62">
        <v>194655.64</v>
      </c>
      <c r="J8" s="62">
        <v>194548.03</v>
      </c>
      <c r="K8" s="62">
        <v>194548.08</v>
      </c>
      <c r="L8" s="62">
        <v>180437.76</v>
      </c>
      <c r="M8" s="7">
        <v>15028.8</v>
      </c>
      <c r="N8" s="7">
        <v>15028.8</v>
      </c>
      <c r="O8" s="7">
        <v>15028.8</v>
      </c>
      <c r="P8" s="7">
        <v>15028.8</v>
      </c>
      <c r="Q8" s="7">
        <v>15028.8</v>
      </c>
      <c r="R8" s="7">
        <v>15028.8</v>
      </c>
      <c r="S8" s="7">
        <v>15028.8</v>
      </c>
      <c r="T8" s="7">
        <v>15028.8</v>
      </c>
      <c r="U8" s="7">
        <v>15028.8</v>
      </c>
      <c r="V8" s="7">
        <v>15028.8</v>
      </c>
      <c r="W8" s="7">
        <v>15028.8</v>
      </c>
      <c r="X8" s="7">
        <v>15028.8</v>
      </c>
      <c r="Y8" s="53">
        <f>SUM(M8:X8)</f>
        <v>180345.59999999998</v>
      </c>
      <c r="Z8" s="57">
        <f>SUM(C8:X8)</f>
        <v>2044234.1300000008</v>
      </c>
    </row>
    <row r="9" spans="1:26" ht="13.5" thickBot="1">
      <c r="A9" s="36"/>
      <c r="B9" s="28" t="s">
        <v>68</v>
      </c>
      <c r="C9" s="63"/>
      <c r="D9" s="67"/>
      <c r="E9" s="63"/>
      <c r="F9" s="63"/>
      <c r="G9" s="63"/>
      <c r="H9" s="63"/>
      <c r="I9" s="63"/>
      <c r="J9" s="63">
        <v>17714.54</v>
      </c>
      <c r="K9" s="63">
        <v>13342.32</v>
      </c>
      <c r="L9" s="63">
        <v>3935.94</v>
      </c>
      <c r="M9" s="7">
        <f aca="true" t="shared" si="0" ref="M9:R9">49.76+79.3+206.19</f>
        <v>335.25</v>
      </c>
      <c r="N9" s="7">
        <f t="shared" si="0"/>
        <v>335.25</v>
      </c>
      <c r="O9" s="7">
        <f t="shared" si="0"/>
        <v>335.25</v>
      </c>
      <c r="P9" s="7">
        <f t="shared" si="0"/>
        <v>335.25</v>
      </c>
      <c r="Q9" s="7">
        <f t="shared" si="0"/>
        <v>335.25</v>
      </c>
      <c r="R9" s="7">
        <f t="shared" si="0"/>
        <v>335.25</v>
      </c>
      <c r="S9" s="8">
        <f aca="true" t="shared" si="1" ref="S9:X9">51.78+79.48+213.64</f>
        <v>344.9</v>
      </c>
      <c r="T9" s="8">
        <f t="shared" si="1"/>
        <v>344.9</v>
      </c>
      <c r="U9" s="8">
        <f t="shared" si="1"/>
        <v>344.9</v>
      </c>
      <c r="V9" s="8">
        <f t="shared" si="1"/>
        <v>344.9</v>
      </c>
      <c r="W9" s="8">
        <f t="shared" si="1"/>
        <v>344.9</v>
      </c>
      <c r="X9" s="8">
        <f t="shared" si="1"/>
        <v>344.9</v>
      </c>
      <c r="Y9" s="53">
        <f>SUM(M9:X9)</f>
        <v>4080.9000000000005</v>
      </c>
      <c r="Z9" s="57">
        <f>SUM(C9:X9)</f>
        <v>39073.70000000001</v>
      </c>
    </row>
    <row r="10" spans="1:26" ht="13.5" thickBot="1">
      <c r="A10" s="36"/>
      <c r="B10" s="97" t="s">
        <v>79</v>
      </c>
      <c r="C10" s="98"/>
      <c r="D10" s="99"/>
      <c r="E10" s="98"/>
      <c r="F10" s="98"/>
      <c r="G10" s="98"/>
      <c r="H10" s="98"/>
      <c r="I10" s="98"/>
      <c r="J10" s="98"/>
      <c r="K10" s="98"/>
      <c r="L10" s="98"/>
      <c r="M10" s="100">
        <v>400</v>
      </c>
      <c r="N10" s="100">
        <v>400</v>
      </c>
      <c r="O10" s="100">
        <v>400</v>
      </c>
      <c r="P10" s="100">
        <v>400</v>
      </c>
      <c r="Q10" s="100">
        <v>400</v>
      </c>
      <c r="R10" s="100">
        <v>400</v>
      </c>
      <c r="S10" s="100">
        <v>400</v>
      </c>
      <c r="T10" s="100">
        <v>400</v>
      </c>
      <c r="U10" s="100">
        <v>400</v>
      </c>
      <c r="V10" s="100">
        <v>400</v>
      </c>
      <c r="W10" s="100">
        <v>400</v>
      </c>
      <c r="X10" s="100">
        <v>400</v>
      </c>
      <c r="Y10" s="53">
        <f>SUM(M10:X10)</f>
        <v>4800</v>
      </c>
      <c r="Z10" s="57">
        <f>SUM(C10:X10)</f>
        <v>4800</v>
      </c>
    </row>
    <row r="11" spans="1:26" s="87" customFormat="1" ht="13.5" thickBot="1">
      <c r="A11" s="81" t="s">
        <v>28</v>
      </c>
      <c r="B11" s="82" t="s">
        <v>2</v>
      </c>
      <c r="C11" s="83">
        <f aca="true" t="shared" si="2" ref="C11:M11">SUM(C12:C26)</f>
        <v>126019.59000000001</v>
      </c>
      <c r="D11" s="84">
        <f t="shared" si="2"/>
        <v>162374.96000000002</v>
      </c>
      <c r="E11" s="83">
        <f t="shared" si="2"/>
        <v>166224.71000000002</v>
      </c>
      <c r="F11" s="83">
        <f t="shared" si="2"/>
        <v>195820.47</v>
      </c>
      <c r="G11" s="83">
        <f t="shared" si="2"/>
        <v>225832.23</v>
      </c>
      <c r="H11" s="83">
        <f>SUM(H12:H26)</f>
        <v>211400.88000000003</v>
      </c>
      <c r="I11" s="83">
        <f>SUM(I12:I26)</f>
        <v>189167.15000000002</v>
      </c>
      <c r="J11" s="83">
        <f>SUM(J12:J26)</f>
        <v>206386.38999999998</v>
      </c>
      <c r="K11" s="83">
        <f t="shared" si="2"/>
        <v>219772.41</v>
      </c>
      <c r="L11" s="83">
        <f t="shared" si="2"/>
        <v>171040.76</v>
      </c>
      <c r="M11" s="85">
        <f t="shared" si="2"/>
        <v>14678.21</v>
      </c>
      <c r="N11" s="85">
        <f aca="true" t="shared" si="3" ref="N11:X11">SUM(N12:N26)</f>
        <v>14628.469999999998</v>
      </c>
      <c r="O11" s="85">
        <f t="shared" si="3"/>
        <v>14686.34</v>
      </c>
      <c r="P11" s="85">
        <f t="shared" si="3"/>
        <v>14305.53</v>
      </c>
      <c r="Q11" s="85">
        <f t="shared" si="3"/>
        <v>14213.09</v>
      </c>
      <c r="R11" s="85">
        <f t="shared" si="3"/>
        <v>14052.129999999997</v>
      </c>
      <c r="S11" s="85">
        <f t="shared" si="3"/>
        <v>15488.679999999998</v>
      </c>
      <c r="T11" s="85">
        <f t="shared" si="3"/>
        <v>15249.849999999999</v>
      </c>
      <c r="U11" s="85">
        <f t="shared" si="3"/>
        <v>14040.619999999999</v>
      </c>
      <c r="V11" s="85">
        <f t="shared" si="3"/>
        <v>13923.22</v>
      </c>
      <c r="W11" s="85">
        <f t="shared" si="3"/>
        <v>18301.75</v>
      </c>
      <c r="X11" s="84">
        <f t="shared" si="3"/>
        <v>15718.18</v>
      </c>
      <c r="Y11" s="83">
        <f>SUM(M11:X11)</f>
        <v>179286.06999999998</v>
      </c>
      <c r="Z11" s="86">
        <f>SUM(C11:X11)</f>
        <v>2053325.62</v>
      </c>
    </row>
    <row r="12" spans="1:26" ht="13.5" thickBot="1">
      <c r="A12" s="36" t="s">
        <v>29</v>
      </c>
      <c r="B12" s="30" t="s">
        <v>80</v>
      </c>
      <c r="C12" s="42">
        <v>17497.88</v>
      </c>
      <c r="D12" s="68">
        <v>29309.33</v>
      </c>
      <c r="E12" s="42">
        <v>31546.68</v>
      </c>
      <c r="F12" s="42">
        <v>38383.22</v>
      </c>
      <c r="G12" s="42">
        <v>39396.46</v>
      </c>
      <c r="H12" s="42">
        <v>36822.41</v>
      </c>
      <c r="I12" s="42">
        <v>36963.11</v>
      </c>
      <c r="J12" s="42">
        <v>38550.3</v>
      </c>
      <c r="K12" s="42">
        <v>37981</v>
      </c>
      <c r="L12" s="42">
        <v>374.73</v>
      </c>
      <c r="M12" s="7"/>
      <c r="N12" s="8">
        <v>23.5</v>
      </c>
      <c r="O12" s="8">
        <v>27.33</v>
      </c>
      <c r="P12" s="8">
        <v>30.64</v>
      </c>
      <c r="Q12" s="8">
        <v>49.07</v>
      </c>
      <c r="R12" s="8">
        <v>37.98</v>
      </c>
      <c r="S12" s="8">
        <f>60.22</f>
        <v>60.22</v>
      </c>
      <c r="T12" s="8">
        <v>59.27</v>
      </c>
      <c r="U12" s="8">
        <v>143.16</v>
      </c>
      <c r="V12" s="8">
        <v>58.26</v>
      </c>
      <c r="W12" s="8">
        <v>4.18</v>
      </c>
      <c r="X12" s="16">
        <v>5.46</v>
      </c>
      <c r="Y12" s="55">
        <f aca="true" t="shared" si="4" ref="Y12:Y28">SUM(M12:X12)</f>
        <v>499.06999999999994</v>
      </c>
      <c r="Z12" s="58">
        <f aca="true" t="shared" si="5" ref="Z12:Z26">SUM(C12:X12)</f>
        <v>307324.19</v>
      </c>
    </row>
    <row r="13" spans="1:26" ht="13.5" customHeight="1" thickBot="1">
      <c r="A13" s="36" t="s">
        <v>30</v>
      </c>
      <c r="B13" s="31" t="s">
        <v>60</v>
      </c>
      <c r="C13" s="43">
        <v>24928.6</v>
      </c>
      <c r="D13" s="69">
        <v>16248.7</v>
      </c>
      <c r="E13" s="43">
        <f>1528.44+1505</f>
        <v>3033.44</v>
      </c>
      <c r="F13" s="43">
        <f>2814.71+10157.05</f>
        <v>12971.759999999998</v>
      </c>
      <c r="G13" s="43">
        <f>6261.64+2400</f>
        <v>8661.64</v>
      </c>
      <c r="H13" s="43">
        <v>6336.95</v>
      </c>
      <c r="I13" s="43">
        <v>106.21</v>
      </c>
      <c r="J13" s="43">
        <v>2420</v>
      </c>
      <c r="K13" s="43">
        <v>4206.5</v>
      </c>
      <c r="L13" s="43">
        <v>0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5">
        <f t="shared" si="4"/>
        <v>0</v>
      </c>
      <c r="Z13" s="58">
        <f>SUM(C13:X13)</f>
        <v>78913.8</v>
      </c>
    </row>
    <row r="14" spans="1:26" ht="13.5" customHeight="1" thickBot="1">
      <c r="A14" s="36" t="s">
        <v>31</v>
      </c>
      <c r="B14" s="29" t="s">
        <v>4</v>
      </c>
      <c r="C14" s="43">
        <v>2137.22</v>
      </c>
      <c r="D14" s="69">
        <v>0</v>
      </c>
      <c r="E14" s="43">
        <v>0</v>
      </c>
      <c r="F14" s="43">
        <v>3819.66</v>
      </c>
      <c r="G14" s="43"/>
      <c r="H14" s="43">
        <v>0</v>
      </c>
      <c r="I14" s="43">
        <v>5485.9</v>
      </c>
      <c r="J14" s="43">
        <v>0</v>
      </c>
      <c r="K14" s="43">
        <v>6933.73</v>
      </c>
      <c r="L14" s="43">
        <v>4208.4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>
        <v>4401.8</v>
      </c>
      <c r="X14" s="17"/>
      <c r="Y14" s="55">
        <f t="shared" si="4"/>
        <v>4401.8</v>
      </c>
      <c r="Z14" s="58">
        <f t="shared" si="5"/>
        <v>26986.709999999995</v>
      </c>
    </row>
    <row r="15" spans="1:26" ht="14.25" customHeight="1" thickBot="1">
      <c r="A15" s="36" t="s">
        <v>62</v>
      </c>
      <c r="B15" s="29" t="s">
        <v>61</v>
      </c>
      <c r="C15" s="43"/>
      <c r="D15" s="69"/>
      <c r="E15" s="43"/>
      <c r="F15" s="43"/>
      <c r="G15" s="43"/>
      <c r="H15" s="43">
        <v>1100</v>
      </c>
      <c r="I15" s="43">
        <v>1700</v>
      </c>
      <c r="J15" s="43">
        <v>2000</v>
      </c>
      <c r="K15" s="43">
        <v>1800</v>
      </c>
      <c r="L15" s="43">
        <v>750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5">
        <f>SUM(M15:X15)</f>
        <v>0</v>
      </c>
      <c r="Z15" s="58">
        <f>SUM(C15:X15)</f>
        <v>7350</v>
      </c>
    </row>
    <row r="16" spans="1:26" ht="15.75" customHeight="1" thickBot="1">
      <c r="A16" s="36" t="s">
        <v>32</v>
      </c>
      <c r="B16" s="31" t="s">
        <v>55</v>
      </c>
      <c r="C16" s="43">
        <v>30271.6</v>
      </c>
      <c r="D16" s="69">
        <v>14301.22</v>
      </c>
      <c r="E16" s="43">
        <v>3175.05</v>
      </c>
      <c r="F16" s="43">
        <v>3413.22</v>
      </c>
      <c r="G16" s="43">
        <v>35571.72</v>
      </c>
      <c r="H16" s="43">
        <v>21336.2</v>
      </c>
      <c r="I16" s="43">
        <v>717.14</v>
      </c>
      <c r="J16" s="43">
        <v>3180.7</v>
      </c>
      <c r="K16" s="43">
        <v>2320.7</v>
      </c>
      <c r="L16" s="43">
        <v>1192.5</v>
      </c>
      <c r="M16" s="9"/>
      <c r="N16" s="10">
        <v>60</v>
      </c>
      <c r="O16" s="10">
        <v>143.32</v>
      </c>
      <c r="P16" s="10"/>
      <c r="Q16" s="10">
        <v>45</v>
      </c>
      <c r="R16" s="10">
        <v>60</v>
      </c>
      <c r="S16" s="10">
        <v>45</v>
      </c>
      <c r="T16" s="10">
        <v>442.81</v>
      </c>
      <c r="U16" s="10"/>
      <c r="V16" s="10">
        <v>252.5</v>
      </c>
      <c r="W16" s="10"/>
      <c r="X16" s="17">
        <v>64</v>
      </c>
      <c r="Y16" s="55">
        <f t="shared" si="4"/>
        <v>1112.63</v>
      </c>
      <c r="Z16" s="58">
        <f t="shared" si="5"/>
        <v>116592.68</v>
      </c>
    </row>
    <row r="17" spans="1:26" ht="23.25" customHeight="1" thickBot="1">
      <c r="A17" s="36" t="s">
        <v>33</v>
      </c>
      <c r="B17" s="31" t="s">
        <v>49</v>
      </c>
      <c r="C17" s="43">
        <v>0</v>
      </c>
      <c r="D17" s="69">
        <v>1733.99</v>
      </c>
      <c r="E17" s="43">
        <v>256</v>
      </c>
      <c r="F17" s="43">
        <v>0</v>
      </c>
      <c r="G17" s="43">
        <v>4518.99</v>
      </c>
      <c r="H17" s="43">
        <v>0</v>
      </c>
      <c r="I17" s="43">
        <v>0</v>
      </c>
      <c r="J17" s="43">
        <v>127.59</v>
      </c>
      <c r="K17" s="43">
        <v>78</v>
      </c>
      <c r="L17" s="43">
        <v>176.37</v>
      </c>
      <c r="M17" s="9">
        <v>40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5">
        <f t="shared" si="4"/>
        <v>40</v>
      </c>
      <c r="Z17" s="58">
        <f t="shared" si="5"/>
        <v>6930.94</v>
      </c>
    </row>
    <row r="18" spans="1:26" ht="11.25" customHeight="1" thickBot="1">
      <c r="A18" s="36" t="s">
        <v>34</v>
      </c>
      <c r="B18" s="31" t="s">
        <v>69</v>
      </c>
      <c r="C18" s="43">
        <v>4972</v>
      </c>
      <c r="D18" s="69">
        <v>6607.03</v>
      </c>
      <c r="E18" s="43">
        <v>4234.38</v>
      </c>
      <c r="F18" s="43">
        <v>0</v>
      </c>
      <c r="G18" s="43"/>
      <c r="H18" s="43">
        <v>0</v>
      </c>
      <c r="I18" s="43">
        <v>0</v>
      </c>
      <c r="J18" s="43">
        <v>13904.63</v>
      </c>
      <c r="K18" s="43">
        <v>9528.72</v>
      </c>
      <c r="L18" s="43">
        <v>0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55">
        <f t="shared" si="4"/>
        <v>0</v>
      </c>
      <c r="Z18" s="58">
        <f t="shared" si="5"/>
        <v>39246.76</v>
      </c>
    </row>
    <row r="19" spans="1:26" ht="12.75" customHeight="1" thickBot="1">
      <c r="A19" s="36"/>
      <c r="B19" s="31" t="s">
        <v>71</v>
      </c>
      <c r="C19" s="43"/>
      <c r="D19" s="69"/>
      <c r="E19" s="43"/>
      <c r="F19" s="43"/>
      <c r="G19" s="43"/>
      <c r="H19" s="43"/>
      <c r="I19" s="43"/>
      <c r="J19" s="43">
        <v>181.2</v>
      </c>
      <c r="K19" s="43">
        <v>0</v>
      </c>
      <c r="L19" s="43">
        <v>0</v>
      </c>
      <c r="M19" s="9"/>
      <c r="N19" s="9"/>
      <c r="O19" s="9"/>
      <c r="P19" s="9"/>
      <c r="Q19" s="9"/>
      <c r="R19" s="9"/>
      <c r="S19" s="10">
        <v>51.78</v>
      </c>
      <c r="T19" s="10">
        <v>51.78</v>
      </c>
      <c r="U19" s="10">
        <v>51.78</v>
      </c>
      <c r="V19" s="10">
        <v>51.78</v>
      </c>
      <c r="W19" s="10">
        <v>51.78</v>
      </c>
      <c r="X19" s="10">
        <v>51.78</v>
      </c>
      <c r="Y19" s="55">
        <f>SUM(M19:X19)</f>
        <v>310.67999999999995</v>
      </c>
      <c r="Z19" s="58">
        <f>SUM(C19:X19)</f>
        <v>491.8799999999999</v>
      </c>
    </row>
    <row r="20" spans="1:26" ht="12.75" customHeight="1" thickBot="1">
      <c r="A20" s="36"/>
      <c r="B20" s="31" t="s">
        <v>70</v>
      </c>
      <c r="C20" s="43"/>
      <c r="D20" s="69"/>
      <c r="E20" s="43"/>
      <c r="F20" s="43"/>
      <c r="G20" s="43"/>
      <c r="H20" s="43"/>
      <c r="I20" s="43"/>
      <c r="J20" s="43">
        <v>2751.51</v>
      </c>
      <c r="K20" s="43">
        <v>2378.1</v>
      </c>
      <c r="L20" s="43">
        <v>2440.86</v>
      </c>
      <c r="M20" s="9">
        <v>206.19</v>
      </c>
      <c r="N20" s="9">
        <v>206.19</v>
      </c>
      <c r="O20" s="9">
        <v>206.19</v>
      </c>
      <c r="P20" s="9">
        <v>206.19</v>
      </c>
      <c r="Q20" s="9">
        <v>206.19</v>
      </c>
      <c r="R20" s="9">
        <v>206.19</v>
      </c>
      <c r="S20" s="10">
        <v>213.64</v>
      </c>
      <c r="T20" s="10">
        <v>216.64</v>
      </c>
      <c r="U20" s="10">
        <v>213.64</v>
      </c>
      <c r="V20" s="10">
        <v>213.64</v>
      </c>
      <c r="W20" s="10">
        <v>213.64</v>
      </c>
      <c r="X20" s="10">
        <v>213.64</v>
      </c>
      <c r="Y20" s="55">
        <f>SUM(M20:X20)</f>
        <v>2521.9799999999996</v>
      </c>
      <c r="Z20" s="58">
        <f>SUM(C20:X20)</f>
        <v>10092.449999999997</v>
      </c>
    </row>
    <row r="21" spans="1:26" ht="17.25" customHeight="1" thickBot="1">
      <c r="A21" s="36" t="s">
        <v>35</v>
      </c>
      <c r="B21" s="31" t="s">
        <v>5</v>
      </c>
      <c r="C21" s="43">
        <v>237.07</v>
      </c>
      <c r="D21" s="69">
        <v>192.89</v>
      </c>
      <c r="E21" s="43">
        <v>1257.44</v>
      </c>
      <c r="F21" s="43">
        <v>2025.93</v>
      </c>
      <c r="G21" s="43">
        <v>157.62</v>
      </c>
      <c r="H21" s="43">
        <v>361.3</v>
      </c>
      <c r="I21" s="43">
        <v>348.29</v>
      </c>
      <c r="J21" s="43">
        <v>244</v>
      </c>
      <c r="K21" s="43">
        <v>200.72</v>
      </c>
      <c r="L21" s="43">
        <v>201.37</v>
      </c>
      <c r="M21" s="9"/>
      <c r="N21" s="10"/>
      <c r="O21" s="10">
        <v>149.59</v>
      </c>
      <c r="P21" s="10"/>
      <c r="Q21" s="10"/>
      <c r="R21" s="10"/>
      <c r="S21" s="10"/>
      <c r="T21" s="10"/>
      <c r="U21" s="10">
        <v>143.85</v>
      </c>
      <c r="V21" s="10"/>
      <c r="W21" s="10"/>
      <c r="X21" s="17">
        <v>158.15</v>
      </c>
      <c r="Y21" s="55">
        <f t="shared" si="4"/>
        <v>451.59000000000003</v>
      </c>
      <c r="Z21" s="58">
        <f t="shared" si="5"/>
        <v>5678.22</v>
      </c>
    </row>
    <row r="22" spans="1:26" ht="22.5" customHeight="1" thickBot="1">
      <c r="A22" s="36" t="s">
        <v>36</v>
      </c>
      <c r="B22" s="31" t="s">
        <v>72</v>
      </c>
      <c r="C22" s="43">
        <v>2137.33</v>
      </c>
      <c r="D22" s="69">
        <v>7619.66</v>
      </c>
      <c r="E22" s="43">
        <v>9599.1</v>
      </c>
      <c r="F22" s="43">
        <v>9992.5</v>
      </c>
      <c r="G22" s="43">
        <v>6387.33</v>
      </c>
      <c r="H22" s="43">
        <v>7533.38</v>
      </c>
      <c r="I22" s="43">
        <v>7965.32</v>
      </c>
      <c r="J22" s="43">
        <v>8087.83</v>
      </c>
      <c r="K22" s="43">
        <v>8499.22</v>
      </c>
      <c r="L22" s="43">
        <v>6879.8</v>
      </c>
      <c r="M22" s="9">
        <v>505</v>
      </c>
      <c r="N22" s="10">
        <v>452.7</v>
      </c>
      <c r="O22" s="10">
        <v>562.81</v>
      </c>
      <c r="P22" s="10">
        <v>439.98</v>
      </c>
      <c r="Q22" s="10">
        <v>455.25</v>
      </c>
      <c r="R22" s="10">
        <v>459.51</v>
      </c>
      <c r="S22" s="10">
        <v>531.45</v>
      </c>
      <c r="T22" s="10">
        <v>662.31</v>
      </c>
      <c r="U22" s="10">
        <v>635.54</v>
      </c>
      <c r="V22" s="10">
        <v>738.69</v>
      </c>
      <c r="W22" s="10">
        <v>687.01</v>
      </c>
      <c r="X22" s="17">
        <v>627.14</v>
      </c>
      <c r="Y22" s="55">
        <f t="shared" si="4"/>
        <v>6757.39</v>
      </c>
      <c r="Z22" s="58">
        <f t="shared" si="5"/>
        <v>81458.85999999997</v>
      </c>
    </row>
    <row r="23" spans="1:26" ht="24" customHeight="1" thickBot="1">
      <c r="A23" s="36" t="s">
        <v>37</v>
      </c>
      <c r="B23" s="31" t="s">
        <v>63</v>
      </c>
      <c r="C23" s="43">
        <v>3512.97</v>
      </c>
      <c r="D23" s="69">
        <v>4147.97</v>
      </c>
      <c r="E23" s="43">
        <v>1243.59</v>
      </c>
      <c r="F23" s="43">
        <v>883.59</v>
      </c>
      <c r="G23" s="43">
        <v>1921.42</v>
      </c>
      <c r="H23" s="43">
        <v>1298.31</v>
      </c>
      <c r="I23" s="43">
        <v>1133.07</v>
      </c>
      <c r="J23" s="43">
        <v>884.68</v>
      </c>
      <c r="K23" s="43">
        <v>857.38</v>
      </c>
      <c r="L23" s="43">
        <v>779.03</v>
      </c>
      <c r="M23" s="9">
        <v>29</v>
      </c>
      <c r="N23" s="10">
        <v>41.09</v>
      </c>
      <c r="O23" s="10">
        <v>39.37</v>
      </c>
      <c r="P23" s="10">
        <v>39.33</v>
      </c>
      <c r="Q23" s="10">
        <v>38.35</v>
      </c>
      <c r="R23" s="10">
        <v>33.51</v>
      </c>
      <c r="S23" s="10">
        <v>75.57</v>
      </c>
      <c r="T23" s="10">
        <v>39.22</v>
      </c>
      <c r="U23" s="10">
        <v>23.95</v>
      </c>
      <c r="V23" s="10">
        <v>72.34</v>
      </c>
      <c r="W23" s="10">
        <v>31.1</v>
      </c>
      <c r="X23" s="17">
        <v>64.72</v>
      </c>
      <c r="Y23" s="55">
        <f t="shared" si="4"/>
        <v>527.5500000000001</v>
      </c>
      <c r="Z23" s="58">
        <f t="shared" si="5"/>
        <v>17189.559999999998</v>
      </c>
    </row>
    <row r="24" spans="1:26" ht="36" customHeight="1" thickBot="1">
      <c r="A24" s="36" t="s">
        <v>38</v>
      </c>
      <c r="B24" s="31" t="s">
        <v>65</v>
      </c>
      <c r="C24" s="43">
        <v>2428.03</v>
      </c>
      <c r="D24" s="69">
        <v>7094.45</v>
      </c>
      <c r="E24" s="43">
        <v>6455.48</v>
      </c>
      <c r="F24" s="43">
        <v>8668.07</v>
      </c>
      <c r="G24" s="43">
        <v>7450.62</v>
      </c>
      <c r="H24" s="43">
        <v>9653.69</v>
      </c>
      <c r="I24" s="43">
        <v>8288.32</v>
      </c>
      <c r="J24" s="43">
        <v>8755.92</v>
      </c>
      <c r="K24" s="43">
        <v>9557.95</v>
      </c>
      <c r="L24" s="43">
        <v>10392.01</v>
      </c>
      <c r="M24" s="9">
        <f>20.63+271.71+443.07</f>
        <v>735.41</v>
      </c>
      <c r="N24" s="10">
        <f>21.4+319.18+475.33</f>
        <v>815.91</v>
      </c>
      <c r="O24" s="10">
        <f>20.41+287.94+487.29</f>
        <v>795.6400000000001</v>
      </c>
      <c r="P24" s="10">
        <f>25.34+338.7+454.94</f>
        <v>818.98</v>
      </c>
      <c r="Q24" s="10">
        <f>21.34+423.26+451.54</f>
        <v>896.14</v>
      </c>
      <c r="R24" s="10">
        <f>20.71+357.28+425.88</f>
        <v>803.8699999999999</v>
      </c>
      <c r="S24" s="10">
        <f>22.39+291.58+432.08</f>
        <v>746.05</v>
      </c>
      <c r="T24" s="10">
        <f>419.31+21.16+294.02</f>
        <v>734.49</v>
      </c>
      <c r="U24" s="10">
        <f>379+647.48</f>
        <v>1026.48</v>
      </c>
      <c r="V24" s="10">
        <f>22.29+632.91+630.14</f>
        <v>1285.34</v>
      </c>
      <c r="W24" s="10">
        <f>24.51+508.29+606.63</f>
        <v>1139.43</v>
      </c>
      <c r="X24" s="17">
        <f>27.66+706.21+556.6</f>
        <v>1290.47</v>
      </c>
      <c r="Y24" s="55">
        <f t="shared" si="4"/>
        <v>11088.21</v>
      </c>
      <c r="Z24" s="58">
        <f t="shared" si="5"/>
        <v>89832.74999999999</v>
      </c>
    </row>
    <row r="25" spans="1:26" ht="15.75" customHeight="1" thickBot="1">
      <c r="A25" s="36" t="s">
        <v>53</v>
      </c>
      <c r="B25" s="31" t="s">
        <v>8</v>
      </c>
      <c r="C25" s="43">
        <v>33301.9</v>
      </c>
      <c r="D25" s="69">
        <v>64420.33</v>
      </c>
      <c r="E25" s="43">
        <v>81198.35</v>
      </c>
      <c r="F25" s="43">
        <v>85639.79</v>
      </c>
      <c r="G25" s="43">
        <v>87651.14</v>
      </c>
      <c r="H25" s="43">
        <v>95777.66</v>
      </c>
      <c r="I25" s="43">
        <v>89998.34</v>
      </c>
      <c r="J25" s="43">
        <v>89764.91</v>
      </c>
      <c r="K25" s="43">
        <v>97580.05</v>
      </c>
      <c r="L25" s="43">
        <v>106446.4</v>
      </c>
      <c r="M25" s="9">
        <f>14678.21-4257.2</f>
        <v>10421.009999999998</v>
      </c>
      <c r="N25" s="10">
        <f>14628.47-5131.89</f>
        <v>9496.579999999998</v>
      </c>
      <c r="O25" s="10">
        <f>14686.34-5426.16</f>
        <v>9260.18</v>
      </c>
      <c r="P25" s="10">
        <f>14305.53-4864.4</f>
        <v>9441.130000000001</v>
      </c>
      <c r="Q25" s="10">
        <f>14213.09-4584.85</f>
        <v>9628.24</v>
      </c>
      <c r="R25" s="10">
        <f>14052.13-4390.85</f>
        <v>9661.279999999999</v>
      </c>
      <c r="S25" s="10">
        <f>15488.68-5465.08-51.78</f>
        <v>9971.82</v>
      </c>
      <c r="T25" s="10">
        <f>15249.85-5298.53-51.78</f>
        <v>9899.539999999999</v>
      </c>
      <c r="U25" s="10">
        <f>14040.62-2836.12-51.78</f>
        <v>11152.72</v>
      </c>
      <c r="V25" s="10">
        <f>13923.22-3550.2</f>
        <v>10373.02</v>
      </c>
      <c r="W25" s="10">
        <f>18301.75-7070.08</f>
        <v>11231.67</v>
      </c>
      <c r="X25" s="17">
        <f>15718.18-3109.38</f>
        <v>12608.8</v>
      </c>
      <c r="Y25" s="55">
        <f t="shared" si="4"/>
        <v>123145.98999999999</v>
      </c>
      <c r="Z25" s="58">
        <f t="shared" si="5"/>
        <v>954924.8600000002</v>
      </c>
    </row>
    <row r="26" spans="1:26" ht="15" customHeight="1" thickBot="1">
      <c r="A26" s="36" t="s">
        <v>54</v>
      </c>
      <c r="B26" s="32" t="s">
        <v>3</v>
      </c>
      <c r="C26" s="44">
        <v>4594.99</v>
      </c>
      <c r="D26" s="70">
        <v>10699.39</v>
      </c>
      <c r="E26" s="44">
        <v>24225.2</v>
      </c>
      <c r="F26" s="44">
        <v>30022.73</v>
      </c>
      <c r="G26" s="44">
        <v>34115.29</v>
      </c>
      <c r="H26" s="44">
        <v>31180.98</v>
      </c>
      <c r="I26" s="44">
        <v>36461.45</v>
      </c>
      <c r="J26" s="44">
        <v>35533.12</v>
      </c>
      <c r="K26" s="44">
        <v>37850.34</v>
      </c>
      <c r="L26" s="44">
        <v>37199.29</v>
      </c>
      <c r="M26" s="11">
        <f>2243.3+10.82+487.48</f>
        <v>2741.6000000000004</v>
      </c>
      <c r="N26" s="12">
        <f>2906.2+13.53+612.77</f>
        <v>3532.5</v>
      </c>
      <c r="O26" s="12">
        <f>2875.6+13.5+612.81</f>
        <v>3501.91</v>
      </c>
      <c r="P26" s="12">
        <f>2736.9+12.82+579.56</f>
        <v>3329.28</v>
      </c>
      <c r="Q26" s="12">
        <f>2335.6+12.12+547.13</f>
        <v>2894.85</v>
      </c>
      <c r="R26" s="12">
        <f>2264+11.47+514.32</f>
        <v>2789.79</v>
      </c>
      <c r="S26" s="12">
        <f>3135.5+14.21+643.44</f>
        <v>3793.15</v>
      </c>
      <c r="T26" s="12">
        <f>2545.3+13.24+585.25</f>
        <v>3143.79</v>
      </c>
      <c r="U26" s="12">
        <f>142.8+11.23+495.47</f>
        <v>649.5</v>
      </c>
      <c r="V26" s="12">
        <f>250.2+14.06+613.39</f>
        <v>877.65</v>
      </c>
      <c r="W26" s="12">
        <f>22.9+11.51+506.73</f>
        <v>541.14</v>
      </c>
      <c r="X26" s="19">
        <f>12.3+13.7+608.02</f>
        <v>634.02</v>
      </c>
      <c r="Y26" s="55">
        <f t="shared" si="4"/>
        <v>28429.180000000004</v>
      </c>
      <c r="Z26" s="58">
        <f t="shared" si="5"/>
        <v>310311.96</v>
      </c>
    </row>
    <row r="27" spans="1:26" ht="15" customHeight="1" thickBot="1">
      <c r="A27" s="36"/>
      <c r="B27" s="39" t="s">
        <v>58</v>
      </c>
      <c r="C27" s="72"/>
      <c r="D27" s="73"/>
      <c r="E27" s="72"/>
      <c r="F27" s="72"/>
      <c r="G27" s="75">
        <f>G8*5%</f>
        <v>9734.232000000002</v>
      </c>
      <c r="H27" s="75">
        <f>H8*5%</f>
        <v>9894.232000000002</v>
      </c>
      <c r="I27" s="75">
        <f>I8*5%</f>
        <v>9732.782000000001</v>
      </c>
      <c r="J27" s="80">
        <f>J8*5%</f>
        <v>9727.4015</v>
      </c>
      <c r="K27" s="80">
        <f>K8*5%</f>
        <v>9727.404</v>
      </c>
      <c r="L27" s="80">
        <f>(L8+L9)*5%</f>
        <v>9218.685000000001</v>
      </c>
      <c r="M27" s="74">
        <f>(M8+M9)*5%</f>
        <v>768.2025</v>
      </c>
      <c r="N27" s="74">
        <f aca="true" t="shared" si="6" ref="N27:X27">(N8+N9)*5%</f>
        <v>768.2025</v>
      </c>
      <c r="O27" s="74">
        <f t="shared" si="6"/>
        <v>768.2025</v>
      </c>
      <c r="P27" s="74">
        <f t="shared" si="6"/>
        <v>768.2025</v>
      </c>
      <c r="Q27" s="74">
        <f t="shared" si="6"/>
        <v>768.2025</v>
      </c>
      <c r="R27" s="74">
        <f t="shared" si="6"/>
        <v>768.2025</v>
      </c>
      <c r="S27" s="74">
        <f t="shared" si="6"/>
        <v>768.685</v>
      </c>
      <c r="T27" s="74">
        <f t="shared" si="6"/>
        <v>768.685</v>
      </c>
      <c r="U27" s="74">
        <f t="shared" si="6"/>
        <v>768.685</v>
      </c>
      <c r="V27" s="74">
        <f t="shared" si="6"/>
        <v>768.685</v>
      </c>
      <c r="W27" s="74">
        <f t="shared" si="6"/>
        <v>768.685</v>
      </c>
      <c r="X27" s="74">
        <f t="shared" si="6"/>
        <v>768.685</v>
      </c>
      <c r="Y27" s="75">
        <f t="shared" si="4"/>
        <v>9221.324999999997</v>
      </c>
      <c r="Z27" s="61"/>
    </row>
    <row r="28" spans="1:26" ht="15" customHeight="1" thickBot="1">
      <c r="A28" s="36" t="s">
        <v>39</v>
      </c>
      <c r="B28" s="59" t="s">
        <v>51</v>
      </c>
      <c r="C28" s="60"/>
      <c r="D28" s="71"/>
      <c r="E28" s="60"/>
      <c r="F28" s="60"/>
      <c r="G28" s="60"/>
      <c r="H28" s="60"/>
      <c r="I28" s="60"/>
      <c r="J28" s="79">
        <f>SUM(J8+J9-J11)-J27</f>
        <v>-3851.221499999978</v>
      </c>
      <c r="K28" s="79">
        <f>SUM(K8+K9-K11)-K27</f>
        <v>-21609.41400000001</v>
      </c>
      <c r="L28" s="79">
        <f>SUM(L8+L9-L11)-L27</f>
        <v>4114.255000000001</v>
      </c>
      <c r="M28" s="76">
        <f>SUM(M8+M9+M10-M11)-M27</f>
        <v>317.63750000000016</v>
      </c>
      <c r="N28" s="76">
        <f aca="true" t="shared" si="7" ref="N28:X28">SUM(N8+N9+N10-N11)-N27</f>
        <v>367.37750000000176</v>
      </c>
      <c r="O28" s="76">
        <f t="shared" si="7"/>
        <v>309.50749999999914</v>
      </c>
      <c r="P28" s="76">
        <f t="shared" si="7"/>
        <v>690.3174999999986</v>
      </c>
      <c r="Q28" s="76">
        <f t="shared" si="7"/>
        <v>782.7574999999991</v>
      </c>
      <c r="R28" s="76">
        <f t="shared" si="7"/>
        <v>943.7175000000019</v>
      </c>
      <c r="S28" s="76">
        <f t="shared" si="7"/>
        <v>-483.6649999999995</v>
      </c>
      <c r="T28" s="76">
        <f t="shared" si="7"/>
        <v>-244.83499999999958</v>
      </c>
      <c r="U28" s="76">
        <f t="shared" si="7"/>
        <v>964.395</v>
      </c>
      <c r="V28" s="76">
        <f t="shared" si="7"/>
        <v>1081.7949999999996</v>
      </c>
      <c r="W28" s="76">
        <f t="shared" si="7"/>
        <v>-3296.735000000001</v>
      </c>
      <c r="X28" s="76">
        <f t="shared" si="7"/>
        <v>-713.1650000000013</v>
      </c>
      <c r="Y28" s="75">
        <f t="shared" si="4"/>
        <v>719.1049999999987</v>
      </c>
      <c r="Z28" s="61"/>
    </row>
    <row r="29" spans="1:26" ht="24" customHeight="1" thickBot="1">
      <c r="A29" s="36" t="s">
        <v>40</v>
      </c>
      <c r="B29" s="88" t="s">
        <v>22</v>
      </c>
      <c r="C29" s="89">
        <v>3894.53</v>
      </c>
      <c r="D29" s="90">
        <f>SUM(D8-D11)</f>
        <v>25312.909999999974</v>
      </c>
      <c r="E29" s="91">
        <f>SUM(E8-E11)</f>
        <v>28585.25999999998</v>
      </c>
      <c r="F29" s="91">
        <f>SUM(F8-F11)</f>
        <v>-1102.6900000000023</v>
      </c>
      <c r="G29" s="92">
        <f>SUM(G8-G11)-G27</f>
        <v>-40881.822</v>
      </c>
      <c r="H29" s="92">
        <f>SUM(H8-H11)-H27</f>
        <v>-23410.472000000023</v>
      </c>
      <c r="I29" s="93">
        <f>SUM(I8-I11)-I27</f>
        <v>-4244.29200000001</v>
      </c>
      <c r="J29" s="92">
        <f>SUM(J8+J9-J11)-J27</f>
        <v>-3851.221499999978</v>
      </c>
      <c r="K29" s="92">
        <f>SUM(K8+K9-K11)-K27</f>
        <v>-21609.41400000001</v>
      </c>
      <c r="L29" s="92">
        <f>SUM(L8+L9-L11)-L27</f>
        <v>4114.255000000001</v>
      </c>
      <c r="M29" s="94">
        <f>SUM(M8+M9+M10-M11)-M27</f>
        <v>317.63750000000016</v>
      </c>
      <c r="N29" s="95">
        <f>SUM(N28+M29)</f>
        <v>685.0150000000019</v>
      </c>
      <c r="O29" s="95">
        <f aca="true" t="shared" si="8" ref="O29:X29">SUM(O28+N29)</f>
        <v>994.5225000000011</v>
      </c>
      <c r="P29" s="95">
        <f t="shared" si="8"/>
        <v>1684.8399999999997</v>
      </c>
      <c r="Q29" s="95">
        <f t="shared" si="8"/>
        <v>2467.597499999999</v>
      </c>
      <c r="R29" s="95">
        <f t="shared" si="8"/>
        <v>3411.315000000001</v>
      </c>
      <c r="S29" s="95">
        <f t="shared" si="8"/>
        <v>2927.6500000000015</v>
      </c>
      <c r="T29" s="95">
        <f t="shared" si="8"/>
        <v>2682.815000000002</v>
      </c>
      <c r="U29" s="95">
        <f t="shared" si="8"/>
        <v>3647.210000000002</v>
      </c>
      <c r="V29" s="95">
        <f t="shared" si="8"/>
        <v>4729.005000000001</v>
      </c>
      <c r="W29" s="95">
        <f t="shared" si="8"/>
        <v>1432.27</v>
      </c>
      <c r="X29" s="95">
        <f t="shared" si="8"/>
        <v>719.1049999999987</v>
      </c>
      <c r="Y29" s="91"/>
      <c r="Z29" s="96"/>
    </row>
    <row r="30" spans="1:26" ht="22.5" customHeight="1" thickBot="1">
      <c r="A30" s="36" t="s">
        <v>41</v>
      </c>
      <c r="B30" s="45" t="s">
        <v>23</v>
      </c>
      <c r="C30" s="39">
        <v>3894.53</v>
      </c>
      <c r="D30" s="18">
        <f>SUM(D8-D11,C30)</f>
        <v>29207.439999999973</v>
      </c>
      <c r="E30" s="55">
        <f>SUM(E8-E11,D30)</f>
        <v>57792.69999999995</v>
      </c>
      <c r="F30" s="55">
        <f>SUM(F8-F11,E30)</f>
        <v>56690.00999999995</v>
      </c>
      <c r="G30" s="78">
        <f aca="true" t="shared" si="9" ref="G30:M30">SUM(G29+F30)</f>
        <v>15808.187999999951</v>
      </c>
      <c r="H30" s="78">
        <f t="shared" si="9"/>
        <v>-7602.284000000072</v>
      </c>
      <c r="I30" s="78">
        <f t="shared" si="9"/>
        <v>-11846.576000000083</v>
      </c>
      <c r="J30" s="78">
        <f t="shared" si="9"/>
        <v>-15697.79750000006</v>
      </c>
      <c r="K30" s="78">
        <f t="shared" si="9"/>
        <v>-37307.21150000007</v>
      </c>
      <c r="L30" s="78">
        <f t="shared" si="9"/>
        <v>-33192.95650000007</v>
      </c>
      <c r="M30" s="78">
        <f t="shared" si="9"/>
        <v>-32875.319000000076</v>
      </c>
      <c r="N30" s="77">
        <f>SUM(N28+M30)</f>
        <v>-32507.941500000074</v>
      </c>
      <c r="O30" s="77">
        <f aca="true" t="shared" si="10" ref="O30:W30">SUM(O28+N30)</f>
        <v>-32198.434000000074</v>
      </c>
      <c r="P30" s="77">
        <f t="shared" si="10"/>
        <v>-31508.116500000076</v>
      </c>
      <c r="Q30" s="77">
        <f t="shared" si="10"/>
        <v>-30725.359000000077</v>
      </c>
      <c r="R30" s="77">
        <f t="shared" si="10"/>
        <v>-29781.641500000074</v>
      </c>
      <c r="S30" s="77">
        <f t="shared" si="10"/>
        <v>-30265.306500000075</v>
      </c>
      <c r="T30" s="77">
        <f t="shared" si="10"/>
        <v>-30510.141500000074</v>
      </c>
      <c r="U30" s="77">
        <f t="shared" si="10"/>
        <v>-29545.746500000074</v>
      </c>
      <c r="V30" s="77">
        <f t="shared" si="10"/>
        <v>-28463.951500000076</v>
      </c>
      <c r="W30" s="77">
        <f t="shared" si="10"/>
        <v>-31760.686500000076</v>
      </c>
      <c r="X30" s="77">
        <f>SUM(X28+W30)</f>
        <v>-32473.851500000077</v>
      </c>
      <c r="Y30" s="55"/>
      <c r="Z30" s="48"/>
    </row>
    <row r="31" spans="1:26" ht="9" customHeight="1" hidden="1" thickBot="1">
      <c r="A31" s="36" t="s">
        <v>42</v>
      </c>
      <c r="B31" s="45" t="s">
        <v>7</v>
      </c>
      <c r="C31" s="40"/>
      <c r="D31" s="40"/>
      <c r="E31" s="64"/>
      <c r="F31" s="64"/>
      <c r="G31" s="64"/>
      <c r="H31" s="64"/>
      <c r="I31" s="64"/>
      <c r="J31" s="64"/>
      <c r="K31" s="64"/>
      <c r="L31" s="64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4"/>
      <c r="Z31" s="49"/>
    </row>
    <row r="32" spans="1:26" ht="15" customHeight="1" hidden="1" thickBot="1">
      <c r="A32" s="37" t="s">
        <v>43</v>
      </c>
      <c r="B32" s="33" t="s">
        <v>24</v>
      </c>
      <c r="C32" s="40"/>
      <c r="D32" s="40"/>
      <c r="E32" s="64"/>
      <c r="F32" s="64"/>
      <c r="G32" s="64"/>
      <c r="H32" s="64"/>
      <c r="I32" s="64"/>
      <c r="J32" s="64"/>
      <c r="K32" s="64"/>
      <c r="L32" s="64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55"/>
      <c r="Z32" s="50"/>
    </row>
    <row r="33" spans="1:26" ht="24" customHeight="1" hidden="1" thickBot="1">
      <c r="A33" s="37" t="s">
        <v>45</v>
      </c>
      <c r="B33" s="34" t="s">
        <v>46</v>
      </c>
      <c r="C33" s="41"/>
      <c r="D33" s="41"/>
      <c r="E33" s="65"/>
      <c r="F33" s="65"/>
      <c r="G33" s="65"/>
      <c r="H33" s="65"/>
      <c r="I33" s="65"/>
      <c r="J33" s="65"/>
      <c r="K33" s="65"/>
      <c r="L33" s="6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SUM(X29-X31)</f>
        <v>719.1049999999987</v>
      </c>
      <c r="Y33" s="56"/>
      <c r="Z33" s="51"/>
    </row>
    <row r="34" spans="1:26" ht="24" customHeight="1" hidden="1" thickBot="1">
      <c r="A34" s="46" t="s">
        <v>48</v>
      </c>
      <c r="B34" s="34" t="s">
        <v>25</v>
      </c>
      <c r="C34" s="41"/>
      <c r="D34" s="41"/>
      <c r="E34" s="65"/>
      <c r="F34" s="65"/>
      <c r="G34" s="65"/>
      <c r="H34" s="65"/>
      <c r="I34" s="65"/>
      <c r="J34" s="65"/>
      <c r="K34" s="65"/>
      <c r="L34" s="65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>
        <f>SUM(X30-X31)</f>
        <v>-32473.851500000077</v>
      </c>
      <c r="Y34" s="56"/>
      <c r="Z34" s="51"/>
    </row>
    <row r="35" spans="3:26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ht="12.75" hidden="1"/>
    <row r="37" ht="12.75" hidden="1"/>
    <row r="38" ht="12.75" hidden="1"/>
    <row r="39" ht="12.75" hidden="1"/>
    <row r="40" ht="12.75">
      <c r="B40" t="s">
        <v>64</v>
      </c>
    </row>
    <row r="44" ht="12.75" customHeight="1"/>
    <row r="45" ht="12.75" customHeight="1"/>
  </sheetData>
  <sheetProtection/>
  <mergeCells count="5">
    <mergeCell ref="B4:Z4"/>
    <mergeCell ref="B5:Z5"/>
    <mergeCell ref="B3:Z3"/>
    <mergeCell ref="B1:O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2021-02-05T06:12:39Z</cp:lastPrinted>
  <dcterms:created xsi:type="dcterms:W3CDTF">2011-06-16T11:06:26Z</dcterms:created>
  <dcterms:modified xsi:type="dcterms:W3CDTF">2021-02-05T06:12:50Z</dcterms:modified>
  <cp:category/>
  <cp:version/>
  <cp:contentType/>
  <cp:contentStatus/>
</cp:coreProperties>
</file>