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<sst xmlns="http://schemas.openxmlformats.org/spreadsheetml/2006/main" count="82" uniqueCount="82">
  <si>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</si>
  <si>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</si>
  <si>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</si>
  <si>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</si>
  <si>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</si>
  <si>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</si>
  <si>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</si>
  <si>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</si>
  <si>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</si>
  <si>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</si>
  <si>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</si>
  <si>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</si>
  <si>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</si>
  <si>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</si>
  <si>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</si>
  <si>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</si>
  <si>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</si>
  <si>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</si>
  <si>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</si>
  <si>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</si>
  <si>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</si>
  <si>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</si>
  <si>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</si>
  <si>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</si>
  <si>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</si>
  <si>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</si>
  <si>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</si>
  <si>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</si>
  <si>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</si>
  <si>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</si>
  <si>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</si>
  <si>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</si>
  <si>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</si>
  <si>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</si>
  <si>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</si>
  <si>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</si>
  <si>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</si>
  <si>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</si>
  <si>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</si>
  <si>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</si>
  <si>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</si>
  <si>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</si>
  <si>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</si>
  <si>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</si>
  <si>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</si>
  <si>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</si>
  <si>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</si>
  <si>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Советская д.15</t>
  </si>
  <si>
    <t>Благоустройство  территории</t>
  </si>
  <si>
    <t>11</t>
  </si>
  <si>
    <t>Итого за 2011 г</t>
  </si>
  <si>
    <t>Проверка  дымовых каналов</t>
  </si>
  <si>
    <t>12</t>
  </si>
  <si>
    <t>Результат за месяц</t>
  </si>
  <si>
    <t>Итого за 2012 г</t>
  </si>
  <si>
    <t>4.12</t>
  </si>
  <si>
    <t>4.13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</si>
  <si>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</si>
  <si>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</si>
  <si>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</si>
  <si>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</si>
  <si>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</si>
  <si>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</si>
  <si>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</si>
  <si>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Исполнитель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</si>
  <si>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</si>
  <si>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</si>
  <si>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</si>
  <si>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</si>
  <si>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</si>
  <si>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</si>
  <si>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</si>
  <si>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</si>
  <si>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Транспортные(ГСМ,зап.части,амортизация,страхов)</t>
  </si>
  <si>
    <t>Итого за 2018 г</t>
  </si>
  <si>
    <t>Итого за 2019 г</t>
  </si>
  <si>
    <t>Дом по ул.Советская д.15 вступил в ООО "Наш дом" с октября 2009 года                  тариф 9,2 руб с января 2019 года тариф 8,6 руб.</t>
  </si>
  <si>
    <t>ООО "НД УНЕЧА"</t>
  </si>
  <si>
    <t>Итого за 2020 г</t>
  </si>
  <si>
    <t>Всего за 2009-2020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</si>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</sst>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9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0" xfId="0" applyFont="1" applyBorder="1" applyAlignment="1">
      <alignment/>
    </xf>
    <xf numFmtId="0" fontId="28" fillId="0" borderId="51" xfId="0" applyFont="1" applyBorder="1" applyAlignment="1">
      <alignment/>
    </xf>
    <xf numFmtId="2" fontId="28" fillId="0" borderId="50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52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4" fillId="0" borderId="4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46" xfId="0" applyFont="1" applyBorder="1" applyAlignment="1">
      <alignment wrapText="1"/>
    </xf>
    <xf numFmtId="0" fontId="21" fillId="0" borderId="48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7">
      <selection activeCell="B13" sqref="B13"/>
    </sheetView>
  </sheetViews>
  <sheetFormatPr defaultColWidth="9.00390625" defaultRowHeight="12.75"/>
  <cols>
    <col min="1" max="1" width="3.25390625" style="26" customWidth="1"/>
    <col min="2" max="2" width="19.125" style="0" customWidth="1"/>
    <col min="3" max="3" width="7.00390625" style="0" hidden="1" customWidth="1"/>
    <col min="4" max="4" width="7.75390625" style="0" hidden="1" customWidth="1"/>
    <col min="5" max="5" width="7.125" style="0" hidden="1" customWidth="1"/>
    <col min="6" max="6" width="10.125" style="0" hidden="1" customWidth="1"/>
    <col min="7" max="7" width="9.375" style="0" hidden="1" customWidth="1"/>
    <col min="8" max="8" width="8.125" style="0" hidden="1" customWidth="1"/>
    <col min="9" max="9" width="9.75390625" style="0" hidden="1" customWidth="1"/>
    <col min="10" max="10" width="10.25390625" style="0" hidden="1" customWidth="1"/>
    <col min="11" max="11" width="9.625" style="0" hidden="1" customWidth="1"/>
    <col min="12" max="12" width="0.12890625" style="0" hidden="1" customWidth="1"/>
    <col min="13" max="13" width="9.00390625" style="0" hidden="1" customWidth="1"/>
    <col min="14" max="14" width="8.75390625" style="0" customWidth="1"/>
    <col min="15" max="15" width="8.875" style="0" customWidth="1"/>
    <col min="16" max="17" width="8.75390625" style="0" customWidth="1"/>
    <col min="18" max="18" width="8.25390625" style="0" customWidth="1"/>
    <col min="19" max="19" width="8.00390625" style="0" customWidth="1"/>
    <col min="20" max="20" width="8.375" style="0" customWidth="1"/>
    <col min="21" max="21" width="9.125" style="0" customWidth="1"/>
    <col min="22" max="22" width="8.875" style="0" customWidth="1"/>
    <col min="23" max="23" width="9.00390625" style="0" customWidth="1"/>
    <col min="24" max="24" width="8.75390625" style="0" customWidth="1"/>
    <col min="25" max="25" width="9.125" style="0" customWidth="1"/>
    <col min="26" max="26" width="8.75390625" style="0" customWidth="1"/>
    <col min="27" max="27" width="9.875" style="0" customWidth="1"/>
  </cols>
  <sheetData>
    <row r="1" spans="2:32" ht="12.75" customHeight="1">
      <c r="B1" s="116" t="s">
        <v>77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16" t="s">
        <v>76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7"/>
      <c r="Y2" s="117"/>
      <c r="Z2" s="117"/>
      <c r="AA2" s="4"/>
      <c r="AB2" s="4"/>
      <c r="AC2" s="4"/>
      <c r="AD2" s="4"/>
      <c r="AE2" s="4"/>
      <c r="AF2" s="4"/>
    </row>
    <row r="3" spans="2:32" ht="12.75" customHeight="1">
      <c r="B3" s="115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3"/>
      <c r="AC3" s="3"/>
      <c r="AD3" s="3"/>
      <c r="AE3" s="3"/>
      <c r="AF3" s="3"/>
    </row>
    <row r="4" spans="2:32" ht="15" customHeight="1">
      <c r="B4" s="114" t="s">
        <v>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2"/>
      <c r="AC4" s="2"/>
      <c r="AD4" s="2"/>
      <c r="AE4" s="2"/>
      <c r="AF4" s="2"/>
    </row>
    <row r="5" spans="2:32" ht="15" customHeight="1" thickBot="1">
      <c r="B5" s="114" t="s">
        <v>47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2"/>
      <c r="AC5" s="2"/>
      <c r="AD5" s="2"/>
      <c r="AE5" s="2"/>
      <c r="AF5" s="2"/>
    </row>
    <row r="6" spans="2:32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</row>
    <row r="7" spans="1:32" ht="33" customHeight="1" thickBot="1">
      <c r="A7" s="35" t="s">
        <v>25</v>
      </c>
      <c r="B7" s="27" t="s">
        <v>5</v>
      </c>
      <c r="C7" s="38" t="s">
        <v>43</v>
      </c>
      <c r="D7" s="42" t="s">
        <v>44</v>
      </c>
      <c r="E7" s="59" t="s">
        <v>50</v>
      </c>
      <c r="F7" s="59" t="s">
        <v>54</v>
      </c>
      <c r="G7" s="59" t="s">
        <v>57</v>
      </c>
      <c r="H7" s="85" t="s">
        <v>58</v>
      </c>
      <c r="I7" s="59" t="s">
        <v>61</v>
      </c>
      <c r="J7" s="59" t="s">
        <v>66</v>
      </c>
      <c r="K7" s="59" t="s">
        <v>67</v>
      </c>
      <c r="L7" s="59" t="s">
        <v>74</v>
      </c>
      <c r="M7" s="59" t="s">
        <v>75</v>
      </c>
      <c r="N7" s="6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18</v>
      </c>
      <c r="X7" s="5" t="s">
        <v>20</v>
      </c>
      <c r="Y7" s="15" t="s">
        <v>19</v>
      </c>
      <c r="Z7" s="59" t="s">
        <v>78</v>
      </c>
      <c r="AA7" s="54" t="s">
        <v>79</v>
      </c>
      <c r="AB7" s="1"/>
      <c r="AC7" s="1"/>
      <c r="AD7" s="1"/>
      <c r="AE7" s="1"/>
      <c r="AF7" s="1"/>
    </row>
    <row r="8" spans="1:27" ht="13.5" thickBot="1">
      <c r="A8" s="36" t="s">
        <v>26</v>
      </c>
      <c r="B8" s="28" t="s">
        <v>1</v>
      </c>
      <c r="C8" s="68">
        <v>17920.68</v>
      </c>
      <c r="D8" s="69">
        <v>71542.88</v>
      </c>
      <c r="E8" s="70">
        <v>71420.52</v>
      </c>
      <c r="F8" s="69">
        <v>71380.96</v>
      </c>
      <c r="G8" s="69">
        <v>71345.08</v>
      </c>
      <c r="H8" s="70">
        <v>71340.48</v>
      </c>
      <c r="I8" s="69">
        <v>71340.48</v>
      </c>
      <c r="J8" s="69">
        <v>71345.08</v>
      </c>
      <c r="K8" s="69">
        <v>71436.16</v>
      </c>
      <c r="L8" s="69">
        <v>71517.12</v>
      </c>
      <c r="M8" s="69">
        <v>66852.96</v>
      </c>
      <c r="N8" s="7">
        <v>5571.08</v>
      </c>
      <c r="O8" s="7">
        <v>5571.08</v>
      </c>
      <c r="P8" s="7">
        <v>5571.08</v>
      </c>
      <c r="Q8" s="7">
        <v>5571.08</v>
      </c>
      <c r="R8" s="7">
        <v>5571.08</v>
      </c>
      <c r="S8" s="7">
        <v>5571.08</v>
      </c>
      <c r="T8" s="7">
        <v>5571.08</v>
      </c>
      <c r="U8" s="7">
        <v>5571.08</v>
      </c>
      <c r="V8" s="7">
        <v>5571.08</v>
      </c>
      <c r="W8" s="7">
        <v>5571.08</v>
      </c>
      <c r="X8" s="7">
        <v>5573.66</v>
      </c>
      <c r="Y8" s="7">
        <v>5573.66</v>
      </c>
      <c r="Z8" s="60">
        <f>SUM(N8:Y8)</f>
        <v>66858.12000000001</v>
      </c>
      <c r="AA8" s="82">
        <f>SUM(C8:Y8)</f>
        <v>794300.5199999997</v>
      </c>
    </row>
    <row r="9" spans="1:27" ht="13.5" thickBot="1">
      <c r="A9" s="36"/>
      <c r="B9" s="28" t="s">
        <v>68</v>
      </c>
      <c r="C9" s="68"/>
      <c r="D9" s="88"/>
      <c r="E9" s="70"/>
      <c r="F9" s="88"/>
      <c r="G9" s="88"/>
      <c r="H9" s="70"/>
      <c r="I9" s="88"/>
      <c r="J9" s="88"/>
      <c r="K9" s="88">
        <v>7705.89</v>
      </c>
      <c r="L9" s="88">
        <v>6395.9</v>
      </c>
      <c r="M9" s="88">
        <v>757.98</v>
      </c>
      <c r="N9" s="7">
        <f aca="true" t="shared" si="0" ref="N9:S9">33.09+31.98</f>
        <v>65.07000000000001</v>
      </c>
      <c r="O9" s="7">
        <f t="shared" si="0"/>
        <v>65.07000000000001</v>
      </c>
      <c r="P9" s="7">
        <f t="shared" si="0"/>
        <v>65.07000000000001</v>
      </c>
      <c r="Q9" s="7">
        <f t="shared" si="0"/>
        <v>65.07000000000001</v>
      </c>
      <c r="R9" s="7">
        <f t="shared" si="0"/>
        <v>65.07000000000001</v>
      </c>
      <c r="S9" s="7">
        <f t="shared" si="0"/>
        <v>65.07000000000001</v>
      </c>
      <c r="T9" s="8">
        <f>34.44+32.11</f>
        <v>66.55</v>
      </c>
      <c r="U9" s="8">
        <f>34.44+32.11</f>
        <v>66.55</v>
      </c>
      <c r="V9" s="8">
        <f>34.44+32.11</f>
        <v>66.55</v>
      </c>
      <c r="W9" s="8">
        <f>34.44+32.11</f>
        <v>66.55</v>
      </c>
      <c r="X9" s="8">
        <f>34.43+32.09</f>
        <v>66.52000000000001</v>
      </c>
      <c r="Y9" s="8">
        <f>34.43+32.09</f>
        <v>66.52000000000001</v>
      </c>
      <c r="Z9" s="60">
        <f>SUM(N9:Y9)</f>
        <v>789.6599999999999</v>
      </c>
      <c r="AA9" s="82">
        <f>SUM(C9:Y9)</f>
        <v>15649.429999999997</v>
      </c>
    </row>
    <row r="10" spans="1:27" ht="13.5" thickBot="1">
      <c r="A10" s="36"/>
      <c r="B10" s="109" t="s">
        <v>80</v>
      </c>
      <c r="C10" s="110"/>
      <c r="D10" s="111"/>
      <c r="E10" s="110"/>
      <c r="F10" s="111"/>
      <c r="G10" s="111"/>
      <c r="H10" s="112"/>
      <c r="I10" s="111"/>
      <c r="J10" s="111"/>
      <c r="K10" s="111"/>
      <c r="L10" s="111"/>
      <c r="M10" s="111"/>
      <c r="N10" s="113">
        <v>400</v>
      </c>
      <c r="O10" s="113">
        <v>400</v>
      </c>
      <c r="P10" s="113">
        <v>400</v>
      </c>
      <c r="Q10" s="113">
        <v>400</v>
      </c>
      <c r="R10" s="113">
        <v>400</v>
      </c>
      <c r="S10" s="113">
        <v>400</v>
      </c>
      <c r="T10" s="113">
        <v>400</v>
      </c>
      <c r="U10" s="113">
        <v>400</v>
      </c>
      <c r="V10" s="113">
        <v>400</v>
      </c>
      <c r="W10" s="113">
        <v>400</v>
      </c>
      <c r="X10" s="113">
        <v>400</v>
      </c>
      <c r="Y10" s="113">
        <v>400</v>
      </c>
      <c r="Z10" s="60">
        <f>SUM(N10:Y10)</f>
        <v>4800</v>
      </c>
      <c r="AA10" s="82">
        <f>SUM(C10:Y10)</f>
        <v>4800</v>
      </c>
    </row>
    <row r="11" spans="1:27" s="97" customFormat="1" ht="13.5" thickBot="1">
      <c r="A11" s="90" t="s">
        <v>27</v>
      </c>
      <c r="B11" s="91" t="s">
        <v>2</v>
      </c>
      <c r="C11" s="92">
        <f aca="true" t="shared" si="1" ref="C11:N11">SUM(C12:C26)</f>
        <v>10796.76</v>
      </c>
      <c r="D11" s="93">
        <f t="shared" si="1"/>
        <v>55313.53</v>
      </c>
      <c r="E11" s="92">
        <f t="shared" si="1"/>
        <v>82308.82999999999</v>
      </c>
      <c r="F11" s="93">
        <f t="shared" si="1"/>
        <v>68355.99</v>
      </c>
      <c r="G11" s="93">
        <f t="shared" si="1"/>
        <v>82148.12</v>
      </c>
      <c r="H11" s="94">
        <f>SUM(H12:H26)</f>
        <v>84284.43000000001</v>
      </c>
      <c r="I11" s="93">
        <f>SUM(I12:I26)</f>
        <v>77251.2</v>
      </c>
      <c r="J11" s="93">
        <f>SUM(J12:J26)</f>
        <v>84445.02</v>
      </c>
      <c r="K11" s="93">
        <f>SUM(K12:K26)</f>
        <v>100701.9</v>
      </c>
      <c r="L11" s="93">
        <f t="shared" si="1"/>
        <v>97763.22</v>
      </c>
      <c r="M11" s="93">
        <f t="shared" si="1"/>
        <v>69176.83</v>
      </c>
      <c r="N11" s="95">
        <f t="shared" si="1"/>
        <v>6112.18</v>
      </c>
      <c r="O11" s="95">
        <f aca="true" t="shared" si="2" ref="O11:Y11">SUM(O12:O26)</f>
        <v>10799.099999999999</v>
      </c>
      <c r="P11" s="95">
        <f t="shared" si="2"/>
        <v>5953.24</v>
      </c>
      <c r="Q11" s="95">
        <f t="shared" si="2"/>
        <v>5733</v>
      </c>
      <c r="R11" s="95">
        <f t="shared" si="2"/>
        <v>5856.86</v>
      </c>
      <c r="S11" s="95">
        <f t="shared" si="2"/>
        <v>5826.09</v>
      </c>
      <c r="T11" s="95">
        <f t="shared" si="2"/>
        <v>6311.649999999999</v>
      </c>
      <c r="U11" s="95">
        <f t="shared" si="2"/>
        <v>7554.68</v>
      </c>
      <c r="V11" s="95">
        <f t="shared" si="2"/>
        <v>6701.9</v>
      </c>
      <c r="W11" s="95">
        <f t="shared" si="2"/>
        <v>5823.07</v>
      </c>
      <c r="X11" s="95">
        <f t="shared" si="2"/>
        <v>11388.96</v>
      </c>
      <c r="Y11" s="92">
        <f t="shared" si="2"/>
        <v>7262.49</v>
      </c>
      <c r="Z11" s="93">
        <f>SUM(N11:Y11)</f>
        <v>85323.22000000002</v>
      </c>
      <c r="AA11" s="96">
        <f>SUM(C11:Y11)</f>
        <v>897869.0499999999</v>
      </c>
    </row>
    <row r="12" spans="1:27" ht="15" customHeight="1" thickBot="1">
      <c r="A12" s="36" t="s">
        <v>28</v>
      </c>
      <c r="B12" s="30" t="s">
        <v>81</v>
      </c>
      <c r="C12" s="46">
        <v>2725.99</v>
      </c>
      <c r="D12" s="47">
        <v>12561.79</v>
      </c>
      <c r="E12" s="71">
        <v>13284.37</v>
      </c>
      <c r="F12" s="47">
        <v>14981.84</v>
      </c>
      <c r="G12" s="47">
        <v>20670.43</v>
      </c>
      <c r="H12" s="71">
        <v>19824.82</v>
      </c>
      <c r="I12" s="47">
        <v>18914.09</v>
      </c>
      <c r="J12" s="47">
        <v>18180.33</v>
      </c>
      <c r="K12" s="47">
        <v>18937.14</v>
      </c>
      <c r="L12" s="47">
        <v>17901.47</v>
      </c>
      <c r="M12" s="47">
        <v>166.3</v>
      </c>
      <c r="N12" s="7"/>
      <c r="O12" s="8">
        <v>10.94</v>
      </c>
      <c r="P12" s="8">
        <v>12.72</v>
      </c>
      <c r="Q12" s="8">
        <v>14.26</v>
      </c>
      <c r="R12" s="8">
        <v>22.84</v>
      </c>
      <c r="S12" s="8">
        <v>16.81</v>
      </c>
      <c r="T12" s="8">
        <v>26.65</v>
      </c>
      <c r="U12" s="8">
        <v>30.66</v>
      </c>
      <c r="V12" s="8">
        <v>72.79</v>
      </c>
      <c r="W12" s="8">
        <v>31.21</v>
      </c>
      <c r="X12" s="8">
        <v>2.32</v>
      </c>
      <c r="Y12" s="16">
        <v>3.09</v>
      </c>
      <c r="Z12" s="61">
        <f aca="true" t="shared" si="3" ref="Z12:Z28">SUM(N12:Y12)</f>
        <v>244.29000000000002</v>
      </c>
      <c r="AA12" s="83">
        <f aca="true" t="shared" si="4" ref="AA12:AA26">SUM(C12:Y12)</f>
        <v>158392.86</v>
      </c>
    </row>
    <row r="13" spans="1:27" ht="12" customHeight="1" thickBot="1">
      <c r="A13" s="36" t="s">
        <v>29</v>
      </c>
      <c r="B13" s="31" t="s">
        <v>62</v>
      </c>
      <c r="C13" s="48">
        <v>3874.22</v>
      </c>
      <c r="D13" s="49">
        <v>17734.29</v>
      </c>
      <c r="E13" s="72">
        <v>6700.19</v>
      </c>
      <c r="F13" s="49">
        <v>161.39</v>
      </c>
      <c r="G13" s="49">
        <v>2545.41</v>
      </c>
      <c r="H13" s="72">
        <f>2284.77+900</f>
        <v>3184.77</v>
      </c>
      <c r="I13" s="49">
        <v>5505.4</v>
      </c>
      <c r="J13" s="49">
        <v>3096.67</v>
      </c>
      <c r="K13" s="49">
        <v>6186.29</v>
      </c>
      <c r="L13" s="49">
        <v>4085.7</v>
      </c>
      <c r="M13" s="49">
        <v>651</v>
      </c>
      <c r="N13" s="9"/>
      <c r="O13" s="10">
        <v>5120</v>
      </c>
      <c r="P13" s="10"/>
      <c r="Q13" s="10"/>
      <c r="R13" s="10"/>
      <c r="S13" s="10"/>
      <c r="T13" s="10"/>
      <c r="U13" s="10">
        <v>1200</v>
      </c>
      <c r="V13" s="10"/>
      <c r="W13" s="10"/>
      <c r="X13" s="10"/>
      <c r="Y13" s="17"/>
      <c r="Z13" s="61">
        <f t="shared" si="3"/>
        <v>6320</v>
      </c>
      <c r="AA13" s="83">
        <f t="shared" si="4"/>
        <v>60045.329999999994</v>
      </c>
    </row>
    <row r="14" spans="1:27" ht="24" customHeight="1" thickBot="1">
      <c r="A14" s="36" t="s">
        <v>30</v>
      </c>
      <c r="B14" s="29" t="s">
        <v>4</v>
      </c>
      <c r="C14" s="48">
        <v>0</v>
      </c>
      <c r="D14" s="49">
        <v>0</v>
      </c>
      <c r="E14" s="72">
        <v>2284.01</v>
      </c>
      <c r="F14" s="49">
        <v>0</v>
      </c>
      <c r="G14" s="49">
        <v>0</v>
      </c>
      <c r="H14" s="72">
        <v>4306.1</v>
      </c>
      <c r="I14" s="49">
        <v>0</v>
      </c>
      <c r="J14" s="49">
        <v>0</v>
      </c>
      <c r="K14" s="49">
        <v>5009.3</v>
      </c>
      <c r="L14" s="49">
        <v>6877.29</v>
      </c>
      <c r="M14" s="49">
        <v>4147.3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>
        <v>4335.6</v>
      </c>
      <c r="Y14" s="17"/>
      <c r="Z14" s="61">
        <f t="shared" si="3"/>
        <v>4335.6</v>
      </c>
      <c r="AA14" s="83">
        <f t="shared" si="4"/>
        <v>26959.6</v>
      </c>
    </row>
    <row r="15" spans="1:27" ht="21" customHeight="1" thickBot="1">
      <c r="A15" s="36" t="s">
        <v>31</v>
      </c>
      <c r="B15" s="29" t="s">
        <v>51</v>
      </c>
      <c r="C15" s="48">
        <v>0</v>
      </c>
      <c r="D15" s="49">
        <v>0</v>
      </c>
      <c r="E15" s="72">
        <v>810.45</v>
      </c>
      <c r="F15" s="49">
        <v>0</v>
      </c>
      <c r="G15" s="49">
        <v>0</v>
      </c>
      <c r="H15" s="72"/>
      <c r="I15" s="49">
        <v>400</v>
      </c>
      <c r="J15" s="49">
        <v>0</v>
      </c>
      <c r="K15" s="49">
        <v>0</v>
      </c>
      <c r="L15" s="49">
        <v>500</v>
      </c>
      <c r="M15" s="49">
        <v>500</v>
      </c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61">
        <f t="shared" si="3"/>
        <v>0</v>
      </c>
      <c r="AA15" s="83">
        <f t="shared" si="4"/>
        <v>2210.45</v>
      </c>
    </row>
    <row r="16" spans="1:27" ht="15" customHeight="1" thickBot="1">
      <c r="A16" s="36" t="s">
        <v>32</v>
      </c>
      <c r="B16" s="31" t="s">
        <v>59</v>
      </c>
      <c r="C16" s="48">
        <v>2629.47</v>
      </c>
      <c r="D16" s="49">
        <v>2282.09</v>
      </c>
      <c r="E16" s="72">
        <v>8467.93</v>
      </c>
      <c r="F16" s="49">
        <v>171.03</v>
      </c>
      <c r="G16" s="49">
        <v>3947.01</v>
      </c>
      <c r="H16" s="72">
        <v>1850.33</v>
      </c>
      <c r="I16" s="49">
        <v>1050.32</v>
      </c>
      <c r="J16" s="49">
        <v>6289.4</v>
      </c>
      <c r="K16" s="49">
        <v>4902.65</v>
      </c>
      <c r="L16" s="49">
        <v>710</v>
      </c>
      <c r="M16" s="49">
        <v>60</v>
      </c>
      <c r="N16" s="9"/>
      <c r="O16" s="10"/>
      <c r="P16" s="10"/>
      <c r="Q16" s="10"/>
      <c r="R16" s="10"/>
      <c r="S16" s="10"/>
      <c r="T16" s="10"/>
      <c r="U16" s="10"/>
      <c r="V16" s="10">
        <v>98.15</v>
      </c>
      <c r="W16" s="10"/>
      <c r="X16" s="10"/>
      <c r="Y16" s="17"/>
      <c r="Z16" s="61">
        <f t="shared" si="3"/>
        <v>98.15</v>
      </c>
      <c r="AA16" s="83">
        <f>SUM(C16:Y16)</f>
        <v>32458.380000000005</v>
      </c>
    </row>
    <row r="17" spans="1:27" ht="21.75" customHeight="1" thickBot="1">
      <c r="A17" s="36" t="s">
        <v>33</v>
      </c>
      <c r="B17" s="31" t="s">
        <v>48</v>
      </c>
      <c r="C17" s="48">
        <v>0</v>
      </c>
      <c r="D17" s="49">
        <v>0</v>
      </c>
      <c r="E17" s="72">
        <v>8758.77</v>
      </c>
      <c r="F17" s="49">
        <v>256</v>
      </c>
      <c r="G17" s="49">
        <v>0</v>
      </c>
      <c r="H17" s="72">
        <v>812.63</v>
      </c>
      <c r="I17" s="49">
        <v>52.96</v>
      </c>
      <c r="J17" s="49">
        <v>186</v>
      </c>
      <c r="K17" s="49">
        <v>152.4</v>
      </c>
      <c r="L17" s="49">
        <v>78</v>
      </c>
      <c r="M17" s="49">
        <v>80.77</v>
      </c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61">
        <f t="shared" si="3"/>
        <v>0</v>
      </c>
      <c r="AA17" s="83">
        <f t="shared" si="4"/>
        <v>10377.529999999999</v>
      </c>
    </row>
    <row r="18" spans="1:27" ht="12" customHeight="1" thickBot="1">
      <c r="A18" s="36" t="s">
        <v>34</v>
      </c>
      <c r="B18" s="31" t="s">
        <v>69</v>
      </c>
      <c r="C18" s="48">
        <v>632.82</v>
      </c>
      <c r="D18" s="49">
        <v>1633.04</v>
      </c>
      <c r="E18" s="72">
        <v>3195.92</v>
      </c>
      <c r="F18" s="49">
        <v>3006.44</v>
      </c>
      <c r="G18" s="49">
        <v>0</v>
      </c>
      <c r="H18" s="72"/>
      <c r="I18" s="49">
        <v>0</v>
      </c>
      <c r="J18" s="49">
        <v>0</v>
      </c>
      <c r="K18" s="49">
        <v>7198.65</v>
      </c>
      <c r="L18" s="49">
        <v>5663.66</v>
      </c>
      <c r="M18" s="49">
        <v>0</v>
      </c>
      <c r="N18" s="9"/>
      <c r="O18" s="9"/>
      <c r="P18" s="9"/>
      <c r="Q18" s="9"/>
      <c r="R18" s="9"/>
      <c r="S18" s="9"/>
      <c r="T18" s="10"/>
      <c r="U18" s="10"/>
      <c r="V18" s="10"/>
      <c r="W18" s="10"/>
      <c r="X18" s="10"/>
      <c r="Y18" s="10"/>
      <c r="Z18" s="61">
        <f t="shared" si="3"/>
        <v>0</v>
      </c>
      <c r="AA18" s="83">
        <f t="shared" si="4"/>
        <v>21330.53</v>
      </c>
    </row>
    <row r="19" spans="1:27" ht="12" customHeight="1" thickBot="1">
      <c r="A19" s="36"/>
      <c r="B19" s="31" t="s">
        <v>70</v>
      </c>
      <c r="C19" s="48"/>
      <c r="D19" s="49"/>
      <c r="E19" s="72"/>
      <c r="F19" s="49"/>
      <c r="G19" s="49"/>
      <c r="H19" s="72"/>
      <c r="I19" s="49"/>
      <c r="J19" s="49"/>
      <c r="K19" s="49">
        <v>308.28</v>
      </c>
      <c r="L19" s="49">
        <v>388.68</v>
      </c>
      <c r="M19" s="49">
        <v>393.48</v>
      </c>
      <c r="N19" s="9">
        <v>33.09</v>
      </c>
      <c r="O19" s="9">
        <v>33.09</v>
      </c>
      <c r="P19" s="9">
        <v>33.09</v>
      </c>
      <c r="Q19" s="9">
        <v>33.09</v>
      </c>
      <c r="R19" s="9">
        <v>33.09</v>
      </c>
      <c r="S19" s="9">
        <v>33.09</v>
      </c>
      <c r="T19" s="9">
        <v>34.43</v>
      </c>
      <c r="U19" s="9">
        <v>34.43</v>
      </c>
      <c r="V19" s="9">
        <v>34.43</v>
      </c>
      <c r="W19" s="9">
        <v>34.43</v>
      </c>
      <c r="X19" s="9">
        <v>34.43</v>
      </c>
      <c r="Y19" s="9">
        <v>34.43</v>
      </c>
      <c r="Z19" s="61">
        <f>SUM(N19:Y19)</f>
        <v>405.12000000000006</v>
      </c>
      <c r="AA19" s="83">
        <f>SUM(C19:Y19)</f>
        <v>1495.56</v>
      </c>
    </row>
    <row r="20" spans="1:27" ht="12" customHeight="1" thickBot="1">
      <c r="A20" s="36"/>
      <c r="B20" s="31" t="s">
        <v>71</v>
      </c>
      <c r="C20" s="48"/>
      <c r="D20" s="49"/>
      <c r="E20" s="72"/>
      <c r="F20" s="49"/>
      <c r="G20" s="49"/>
      <c r="H20" s="72"/>
      <c r="I20" s="49"/>
      <c r="J20" s="49"/>
      <c r="K20" s="49">
        <v>198.97</v>
      </c>
      <c r="L20" s="49">
        <v>343.68</v>
      </c>
      <c r="M20" s="49">
        <v>361.32</v>
      </c>
      <c r="N20" s="9">
        <v>32</v>
      </c>
      <c r="O20" s="9">
        <v>32</v>
      </c>
      <c r="P20" s="9">
        <v>32</v>
      </c>
      <c r="Q20" s="9">
        <v>32</v>
      </c>
      <c r="R20" s="9">
        <v>32</v>
      </c>
      <c r="S20" s="9">
        <v>32</v>
      </c>
      <c r="T20" s="9">
        <v>32.09</v>
      </c>
      <c r="U20" s="9">
        <v>32.09</v>
      </c>
      <c r="V20" s="9">
        <v>32.09</v>
      </c>
      <c r="W20" s="9">
        <v>32.09</v>
      </c>
      <c r="X20" s="9">
        <v>32.09</v>
      </c>
      <c r="Y20" s="9">
        <v>32.09</v>
      </c>
      <c r="Z20" s="61">
        <f>SUM(N20:Y20)</f>
        <v>384.5400000000001</v>
      </c>
      <c r="AA20" s="83">
        <f>SUM(C20:Y20)</f>
        <v>1288.5099999999995</v>
      </c>
    </row>
    <row r="21" spans="1:27" ht="11.25" customHeight="1" thickBot="1">
      <c r="A21" s="36" t="s">
        <v>35</v>
      </c>
      <c r="B21" s="31" t="s">
        <v>72</v>
      </c>
      <c r="C21" s="48">
        <v>84.69</v>
      </c>
      <c r="D21" s="49">
        <v>779.9</v>
      </c>
      <c r="E21" s="72">
        <v>313.59</v>
      </c>
      <c r="F21" s="49">
        <v>300.32</v>
      </c>
      <c r="G21" s="49">
        <v>237.02</v>
      </c>
      <c r="H21" s="72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61">
        <f t="shared" si="3"/>
        <v>0</v>
      </c>
      <c r="AA21" s="83">
        <f t="shared" si="4"/>
        <v>1715.5199999999998</v>
      </c>
    </row>
    <row r="22" spans="1:27" ht="22.5" customHeight="1" thickBot="1">
      <c r="A22" s="36" t="s">
        <v>36</v>
      </c>
      <c r="B22" s="31" t="s">
        <v>73</v>
      </c>
      <c r="C22" s="48">
        <v>0</v>
      </c>
      <c r="D22" s="49">
        <v>881.72</v>
      </c>
      <c r="E22" s="72">
        <v>3140.68</v>
      </c>
      <c r="F22" s="49">
        <v>3956.91</v>
      </c>
      <c r="G22" s="49">
        <v>4714.73</v>
      </c>
      <c r="H22" s="72">
        <v>2633.16</v>
      </c>
      <c r="I22" s="49">
        <v>3083.39</v>
      </c>
      <c r="J22" s="49">
        <v>3284.3</v>
      </c>
      <c r="K22" s="49">
        <v>3341.14</v>
      </c>
      <c r="L22" s="49">
        <v>3514.93</v>
      </c>
      <c r="M22" s="49">
        <v>2845.38</v>
      </c>
      <c r="N22" s="9">
        <v>208.97</v>
      </c>
      <c r="O22" s="10">
        <v>187.32</v>
      </c>
      <c r="P22" s="10">
        <v>232.89</v>
      </c>
      <c r="Q22" s="10">
        <v>182.06</v>
      </c>
      <c r="R22" s="10">
        <v>188.38</v>
      </c>
      <c r="S22" s="10">
        <v>190.14</v>
      </c>
      <c r="T22" s="10">
        <v>219.91</v>
      </c>
      <c r="U22" s="10">
        <v>274.06</v>
      </c>
      <c r="V22" s="10">
        <v>262.99</v>
      </c>
      <c r="W22" s="10">
        <v>305.67</v>
      </c>
      <c r="X22" s="10">
        <v>284.42</v>
      </c>
      <c r="Y22" s="17">
        <v>259.63</v>
      </c>
      <c r="Z22" s="61">
        <f t="shared" si="3"/>
        <v>2796.44</v>
      </c>
      <c r="AA22" s="83">
        <f t="shared" si="4"/>
        <v>34192.77999999999</v>
      </c>
    </row>
    <row r="23" spans="1:27" ht="33" customHeight="1" thickBot="1">
      <c r="A23" s="36" t="s">
        <v>37</v>
      </c>
      <c r="B23" s="31" t="s">
        <v>63</v>
      </c>
      <c r="C23" s="48">
        <v>335.09</v>
      </c>
      <c r="D23" s="49">
        <v>2697.48</v>
      </c>
      <c r="E23" s="72">
        <v>1711.24</v>
      </c>
      <c r="F23" s="49">
        <v>512.62</v>
      </c>
      <c r="G23" s="49">
        <v>364.24</v>
      </c>
      <c r="H23" s="72">
        <v>792.12</v>
      </c>
      <c r="I23" s="49">
        <v>534.99</v>
      </c>
      <c r="J23" s="49">
        <v>467.22</v>
      </c>
      <c r="K23" s="49">
        <v>365.42</v>
      </c>
      <c r="L23" s="49">
        <v>354.58</v>
      </c>
      <c r="M23" s="49">
        <v>322.19</v>
      </c>
      <c r="N23" s="9">
        <v>12</v>
      </c>
      <c r="O23" s="10">
        <v>17</v>
      </c>
      <c r="P23" s="10">
        <v>16.29</v>
      </c>
      <c r="Q23" s="10">
        <v>16.27</v>
      </c>
      <c r="R23" s="10">
        <v>15.87</v>
      </c>
      <c r="S23" s="10">
        <v>13.87</v>
      </c>
      <c r="T23" s="10">
        <v>31.27</v>
      </c>
      <c r="U23" s="10">
        <v>16.23</v>
      </c>
      <c r="V23" s="10">
        <v>9.91</v>
      </c>
      <c r="W23" s="10">
        <v>29.94</v>
      </c>
      <c r="X23" s="10">
        <v>12.88</v>
      </c>
      <c r="Y23" s="17">
        <v>35.07</v>
      </c>
      <c r="Z23" s="61">
        <f t="shared" si="3"/>
        <v>226.6</v>
      </c>
      <c r="AA23" s="83">
        <f t="shared" si="4"/>
        <v>8683.790000000003</v>
      </c>
    </row>
    <row r="24" spans="1:27" ht="36" customHeight="1" thickBot="1">
      <c r="A24" s="36" t="s">
        <v>38</v>
      </c>
      <c r="B24" s="31" t="s">
        <v>65</v>
      </c>
      <c r="C24" s="48">
        <v>0</v>
      </c>
      <c r="D24" s="49">
        <v>923.81</v>
      </c>
      <c r="E24" s="72">
        <v>2803.25</v>
      </c>
      <c r="F24" s="49">
        <v>2664.48</v>
      </c>
      <c r="G24" s="49">
        <v>3573.06</v>
      </c>
      <c r="H24" s="72">
        <v>3073.48</v>
      </c>
      <c r="I24" s="49">
        <v>3967.69</v>
      </c>
      <c r="J24" s="49">
        <v>3417.63</v>
      </c>
      <c r="K24" s="49">
        <v>3604.54</v>
      </c>
      <c r="L24" s="49">
        <v>3952.78</v>
      </c>
      <c r="M24" s="49">
        <v>4297.99</v>
      </c>
      <c r="N24" s="9">
        <f>8.54+112.43+183.34</f>
        <v>304.31</v>
      </c>
      <c r="O24" s="10">
        <f>8.85+132.08+196.69</f>
        <v>337.62</v>
      </c>
      <c r="P24" s="10">
        <f>8.45+119.15+201.64</f>
        <v>329.24</v>
      </c>
      <c r="Q24" s="10">
        <f>10.49+140.15+188.25</f>
        <v>338.89</v>
      </c>
      <c r="R24" s="10">
        <f>8.83+175.14+186.85</f>
        <v>370.82</v>
      </c>
      <c r="S24" s="10">
        <f>8.57+147.84+176.23</f>
        <v>332.64</v>
      </c>
      <c r="T24" s="10">
        <f>9.26+120.66+178.79</f>
        <v>308.71</v>
      </c>
      <c r="U24" s="10">
        <f>173.51+8.76+121.67</f>
        <v>303.94</v>
      </c>
      <c r="V24" s="10">
        <f>156.83+267.93</f>
        <v>424.76</v>
      </c>
      <c r="W24" s="10">
        <f>9.22+261.9+260.75</f>
        <v>531.87</v>
      </c>
      <c r="X24" s="10">
        <f>10.15+210.43+251.14</f>
        <v>471.72</v>
      </c>
      <c r="Y24" s="17">
        <f>11.45+292.36+230.43</f>
        <v>534.24</v>
      </c>
      <c r="Z24" s="61">
        <f t="shared" si="3"/>
        <v>4588.76</v>
      </c>
      <c r="AA24" s="83">
        <f t="shared" si="4"/>
        <v>36867.47</v>
      </c>
    </row>
    <row r="25" spans="1:27" ht="15.75" customHeight="1" thickBot="1">
      <c r="A25" s="36" t="s">
        <v>55</v>
      </c>
      <c r="B25" s="31" t="s">
        <v>7</v>
      </c>
      <c r="C25" s="48">
        <v>321.29</v>
      </c>
      <c r="D25" s="49">
        <v>13451.06</v>
      </c>
      <c r="E25" s="72">
        <v>26556.01</v>
      </c>
      <c r="F25" s="49">
        <v>33471.29</v>
      </c>
      <c r="G25" s="49">
        <v>35515.04</v>
      </c>
      <c r="H25" s="72">
        <v>36363.91</v>
      </c>
      <c r="I25" s="49">
        <v>31560.05</v>
      </c>
      <c r="J25" s="49">
        <v>36556.2</v>
      </c>
      <c r="K25" s="49">
        <v>36583.15</v>
      </c>
      <c r="L25" s="49">
        <v>39182.35</v>
      </c>
      <c r="M25" s="49">
        <v>41041.1</v>
      </c>
      <c r="N25" s="9">
        <f>6112.18-1709.99</f>
        <v>4402.1900000000005</v>
      </c>
      <c r="O25" s="10">
        <f>10799.1-6869.43</f>
        <v>3929.67</v>
      </c>
      <c r="P25" s="10">
        <f>5953.24-1945.12</f>
        <v>4008.12</v>
      </c>
      <c r="Q25" s="10">
        <f>5733-1828.29</f>
        <v>3904.71</v>
      </c>
      <c r="R25" s="10">
        <f>5856.86-1872.72</f>
        <v>3984.1399999999994</v>
      </c>
      <c r="S25" s="10">
        <f>5826.09-1828.27</f>
        <v>3997.82</v>
      </c>
      <c r="T25" s="10">
        <f>6311.65-1804.43</f>
        <v>4507.219999999999</v>
      </c>
      <c r="U25" s="10">
        <f>7554.68-3076.13</f>
        <v>4478.55</v>
      </c>
      <c r="V25" s="10">
        <f>6701.9-2119.84</f>
        <v>4582.0599999999995</v>
      </c>
      <c r="W25" s="10">
        <f>5823.07-2149.83</f>
        <v>3673.24</v>
      </c>
      <c r="X25" s="10">
        <f>11388.96-6358.08</f>
        <v>5030.879999999999</v>
      </c>
      <c r="Y25" s="17">
        <f>7262.49-2083.77</f>
        <v>5178.719999999999</v>
      </c>
      <c r="Z25" s="61">
        <f t="shared" si="3"/>
        <v>51677.31999999999</v>
      </c>
      <c r="AA25" s="83">
        <f t="shared" si="4"/>
        <v>382278.7699999999</v>
      </c>
    </row>
    <row r="26" spans="1:27" ht="13.5" customHeight="1" thickBot="1">
      <c r="A26" s="36" t="s">
        <v>56</v>
      </c>
      <c r="B26" s="32" t="s">
        <v>3</v>
      </c>
      <c r="C26" s="50">
        <v>193.19</v>
      </c>
      <c r="D26" s="51">
        <v>2368.35</v>
      </c>
      <c r="E26" s="73">
        <v>4282.42</v>
      </c>
      <c r="F26" s="51">
        <v>8873.67</v>
      </c>
      <c r="G26" s="51">
        <v>10581.18</v>
      </c>
      <c r="H26" s="73">
        <v>11443.11</v>
      </c>
      <c r="I26" s="51">
        <v>12182.31</v>
      </c>
      <c r="J26" s="51">
        <v>12967.27</v>
      </c>
      <c r="K26" s="51">
        <v>13913.97</v>
      </c>
      <c r="L26" s="51">
        <v>14210.1</v>
      </c>
      <c r="M26" s="51">
        <v>14310</v>
      </c>
      <c r="N26" s="11">
        <f>906.8+2.46+210.36</f>
        <v>1119.62</v>
      </c>
      <c r="O26" s="12">
        <f>932.4+2.3+196.76</f>
        <v>1131.46</v>
      </c>
      <c r="P26" s="12">
        <f>1062.3+2.62+223.97</f>
        <v>1288.8899999999999</v>
      </c>
      <c r="Q26" s="12">
        <f>998.9+2.46+210.36</f>
        <v>1211.72</v>
      </c>
      <c r="R26" s="12">
        <f>996.9+2.46+210.36</f>
        <v>1209.72</v>
      </c>
      <c r="S26" s="12">
        <f>996.9+2.46+210.36</f>
        <v>1209.72</v>
      </c>
      <c r="T26" s="12">
        <f>948.8+2.34+200.23</f>
        <v>1151.37</v>
      </c>
      <c r="U26" s="12">
        <f>982.1+2.39+200.23</f>
        <v>1184.72</v>
      </c>
      <c r="V26" s="12">
        <f>982.1+2.39+200.23</f>
        <v>1184.72</v>
      </c>
      <c r="W26" s="12">
        <f>982+2.39+200.23</f>
        <v>1184.62</v>
      </c>
      <c r="X26" s="12">
        <f>982+2.39+200.23</f>
        <v>1184.62</v>
      </c>
      <c r="Y26" s="19">
        <f>982.5+2.39+200.33</f>
        <v>1185.22</v>
      </c>
      <c r="Z26" s="61">
        <f t="shared" si="3"/>
        <v>14246.399999999996</v>
      </c>
      <c r="AA26" s="83">
        <f t="shared" si="4"/>
        <v>119571.97</v>
      </c>
    </row>
    <row r="27" spans="1:27" ht="13.5" customHeight="1" thickBot="1">
      <c r="A27" s="36"/>
      <c r="B27" s="43" t="s">
        <v>60</v>
      </c>
      <c r="C27" s="75"/>
      <c r="D27" s="76"/>
      <c r="E27" s="77"/>
      <c r="F27" s="76"/>
      <c r="G27" s="76"/>
      <c r="H27" s="86">
        <f>H8*5%</f>
        <v>3567.024</v>
      </c>
      <c r="I27" s="79">
        <f>I8*5%</f>
        <v>3567.024</v>
      </c>
      <c r="J27" s="79">
        <f>J8*5%</f>
        <v>3567.2540000000004</v>
      </c>
      <c r="K27" s="79">
        <f>K8*5%</f>
        <v>3571.8080000000004</v>
      </c>
      <c r="L27" s="79">
        <f>L8*5%</f>
        <v>3575.8559999999998</v>
      </c>
      <c r="M27" s="79">
        <f>(M8+M9)*5%</f>
        <v>3380.5470000000005</v>
      </c>
      <c r="N27" s="78">
        <f>(N8+N9)*5%</f>
        <v>281.8075</v>
      </c>
      <c r="O27" s="78">
        <f aca="true" t="shared" si="5" ref="O27:Y27">(O8+O9)*5%</f>
        <v>281.8075</v>
      </c>
      <c r="P27" s="78">
        <f t="shared" si="5"/>
        <v>281.8075</v>
      </c>
      <c r="Q27" s="78">
        <f t="shared" si="5"/>
        <v>281.8075</v>
      </c>
      <c r="R27" s="78">
        <f t="shared" si="5"/>
        <v>281.8075</v>
      </c>
      <c r="S27" s="78">
        <f t="shared" si="5"/>
        <v>281.8075</v>
      </c>
      <c r="T27" s="78">
        <f t="shared" si="5"/>
        <v>281.8815</v>
      </c>
      <c r="U27" s="78">
        <f t="shared" si="5"/>
        <v>281.8815</v>
      </c>
      <c r="V27" s="78">
        <f t="shared" si="5"/>
        <v>281.8815</v>
      </c>
      <c r="W27" s="78">
        <f t="shared" si="5"/>
        <v>281.8815</v>
      </c>
      <c r="X27" s="78">
        <f t="shared" si="5"/>
        <v>282.009</v>
      </c>
      <c r="Y27" s="78">
        <f t="shared" si="5"/>
        <v>282.009</v>
      </c>
      <c r="Z27" s="79">
        <f t="shared" si="3"/>
        <v>3382.3889999999997</v>
      </c>
      <c r="AA27" s="84"/>
    </row>
    <row r="28" spans="1:27" ht="15" customHeight="1" thickBot="1">
      <c r="A28" s="36" t="s">
        <v>39</v>
      </c>
      <c r="B28" s="65" t="s">
        <v>53</v>
      </c>
      <c r="C28" s="66"/>
      <c r="D28" s="67"/>
      <c r="E28" s="74"/>
      <c r="F28" s="67"/>
      <c r="G28" s="67"/>
      <c r="H28" s="74"/>
      <c r="I28" s="67"/>
      <c r="J28" s="67"/>
      <c r="K28" s="89">
        <f>SUM(K8+K9-K11)-K27</f>
        <v>-25131.657999999992</v>
      </c>
      <c r="L28" s="89">
        <f>SUM(L8+L9-L11)-L27</f>
        <v>-23426.05600000001</v>
      </c>
      <c r="M28" s="89">
        <f>SUM(M8+M9-M11)-M27</f>
        <v>-4946.437</v>
      </c>
      <c r="N28" s="80">
        <f>SUM(N8+N9+N10-N11)-N27</f>
        <v>-357.83750000000066</v>
      </c>
      <c r="O28" s="80">
        <f aca="true" t="shared" si="6" ref="O28:Y28">SUM(O8+O9+O10-O11)-O27</f>
        <v>-5044.757499999999</v>
      </c>
      <c r="P28" s="80">
        <f t="shared" si="6"/>
        <v>-198.89750000000015</v>
      </c>
      <c r="Q28" s="80">
        <f t="shared" si="6"/>
        <v>21.34249999999963</v>
      </c>
      <c r="R28" s="80">
        <f t="shared" si="6"/>
        <v>-102.51750000000004</v>
      </c>
      <c r="S28" s="80">
        <f t="shared" si="6"/>
        <v>-71.74750000000051</v>
      </c>
      <c r="T28" s="80">
        <f t="shared" si="6"/>
        <v>-555.9014999999986</v>
      </c>
      <c r="U28" s="80">
        <f t="shared" si="6"/>
        <v>-1798.9315000000001</v>
      </c>
      <c r="V28" s="80">
        <f t="shared" si="6"/>
        <v>-946.1514999999995</v>
      </c>
      <c r="W28" s="80">
        <f t="shared" si="6"/>
        <v>-67.32149999999962</v>
      </c>
      <c r="X28" s="80">
        <f t="shared" si="6"/>
        <v>-5630.788999999999</v>
      </c>
      <c r="Y28" s="80">
        <f t="shared" si="6"/>
        <v>-1504.3189999999995</v>
      </c>
      <c r="Z28" s="79">
        <f t="shared" si="3"/>
        <v>-16257.828999999998</v>
      </c>
      <c r="AA28" s="84"/>
    </row>
    <row r="29" spans="1:27" ht="24" customHeight="1" thickBot="1">
      <c r="A29" s="90" t="s">
        <v>40</v>
      </c>
      <c r="B29" s="98" t="s">
        <v>21</v>
      </c>
      <c r="C29" s="99">
        <v>7123.91</v>
      </c>
      <c r="D29" s="100">
        <v>17735.94</v>
      </c>
      <c r="E29" s="101">
        <f>SUM(E8-E11)</f>
        <v>-10888.309999999983</v>
      </c>
      <c r="F29" s="102">
        <f>SUM(F8-F11)</f>
        <v>3024.970000000001</v>
      </c>
      <c r="G29" s="102">
        <f>SUM(G8-G11)</f>
        <v>-10803.039999999994</v>
      </c>
      <c r="H29" s="103">
        <f>SUM(H8-H11)-H27</f>
        <v>-16510.974000000013</v>
      </c>
      <c r="I29" s="104">
        <f>SUM(I8-I11)-I27</f>
        <v>-9477.744</v>
      </c>
      <c r="J29" s="104">
        <f>SUM(J8-J11)-J27</f>
        <v>-16667.194000000003</v>
      </c>
      <c r="K29" s="105">
        <f>SUM(K8+K9-K11)-K27</f>
        <v>-25131.657999999992</v>
      </c>
      <c r="L29" s="105">
        <f>SUM(L8+L9-L11)-L27</f>
        <v>-23426.05600000001</v>
      </c>
      <c r="M29" s="105">
        <f>SUM(M8+M9-M11)-M27</f>
        <v>-4946.437</v>
      </c>
      <c r="N29" s="106">
        <f>SUM(N8+N9+N10-N11)-N27</f>
        <v>-357.83750000000066</v>
      </c>
      <c r="O29" s="107">
        <f>SUM(O28+N29)</f>
        <v>-5402.594999999999</v>
      </c>
      <c r="P29" s="107">
        <f aca="true" t="shared" si="7" ref="P29:Y29">SUM(P28+O29)</f>
        <v>-5601.492499999999</v>
      </c>
      <c r="Q29" s="107">
        <f t="shared" si="7"/>
        <v>-5580.15</v>
      </c>
      <c r="R29" s="107">
        <f t="shared" si="7"/>
        <v>-5682.6675</v>
      </c>
      <c r="S29" s="107">
        <f t="shared" si="7"/>
        <v>-5754.415</v>
      </c>
      <c r="T29" s="107">
        <f t="shared" si="7"/>
        <v>-6310.316499999999</v>
      </c>
      <c r="U29" s="107">
        <f t="shared" si="7"/>
        <v>-8109.248</v>
      </c>
      <c r="V29" s="107">
        <f t="shared" si="7"/>
        <v>-9055.3995</v>
      </c>
      <c r="W29" s="107">
        <f t="shared" si="7"/>
        <v>-9122.721</v>
      </c>
      <c r="X29" s="107">
        <f t="shared" si="7"/>
        <v>-14753.509999999998</v>
      </c>
      <c r="Y29" s="107">
        <f t="shared" si="7"/>
        <v>-16257.828999999998</v>
      </c>
      <c r="Z29" s="102"/>
      <c r="AA29" s="108"/>
    </row>
    <row r="30" spans="1:27" ht="23.25" customHeight="1" thickBot="1">
      <c r="A30" s="36" t="s">
        <v>41</v>
      </c>
      <c r="B30" s="52" t="s">
        <v>22</v>
      </c>
      <c r="C30" s="39">
        <v>7123.91</v>
      </c>
      <c r="D30" s="43">
        <v>24859.85</v>
      </c>
      <c r="E30" s="18">
        <f>SUM(E8-E11,D30)</f>
        <v>13971.540000000015</v>
      </c>
      <c r="F30" s="61">
        <f>SUM(F8-F11,E30)</f>
        <v>16996.510000000017</v>
      </c>
      <c r="G30" s="61">
        <f>SUM(G8-G11,F30)</f>
        <v>6193.470000000023</v>
      </c>
      <c r="H30" s="87">
        <f aca="true" t="shared" si="8" ref="H30:N30">SUM(H29+G30)</f>
        <v>-10317.50399999999</v>
      </c>
      <c r="I30" s="79">
        <f t="shared" si="8"/>
        <v>-19795.247999999992</v>
      </c>
      <c r="J30" s="79">
        <f t="shared" si="8"/>
        <v>-36462.441999999995</v>
      </c>
      <c r="K30" s="79">
        <f t="shared" si="8"/>
        <v>-61594.09999999999</v>
      </c>
      <c r="L30" s="79">
        <f t="shared" si="8"/>
        <v>-85020.156</v>
      </c>
      <c r="M30" s="79">
        <f t="shared" si="8"/>
        <v>-89966.59300000001</v>
      </c>
      <c r="N30" s="79">
        <f t="shared" si="8"/>
        <v>-90324.4305</v>
      </c>
      <c r="O30" s="81">
        <f>SUM(O28+N30)</f>
        <v>-95369.188</v>
      </c>
      <c r="P30" s="81">
        <f aca="true" t="shared" si="9" ref="P30:X30">SUM(P28+O30)</f>
        <v>-95568.0855</v>
      </c>
      <c r="Q30" s="81">
        <f t="shared" si="9"/>
        <v>-95546.743</v>
      </c>
      <c r="R30" s="81">
        <f t="shared" si="9"/>
        <v>-95649.2605</v>
      </c>
      <c r="S30" s="81">
        <f t="shared" si="9"/>
        <v>-95721.008</v>
      </c>
      <c r="T30" s="81">
        <f t="shared" si="9"/>
        <v>-96276.9095</v>
      </c>
      <c r="U30" s="81">
        <f t="shared" si="9"/>
        <v>-98075.841</v>
      </c>
      <c r="V30" s="81">
        <f t="shared" si="9"/>
        <v>-99021.9925</v>
      </c>
      <c r="W30" s="81">
        <f t="shared" si="9"/>
        <v>-99089.314</v>
      </c>
      <c r="X30" s="81">
        <f t="shared" si="9"/>
        <v>-104720.103</v>
      </c>
      <c r="Y30" s="81">
        <f>SUM(Y28+X30)</f>
        <v>-106224.422</v>
      </c>
      <c r="Z30" s="61"/>
      <c r="AA30" s="55"/>
    </row>
    <row r="31" spans="1:27" ht="10.5" customHeight="1" hidden="1" thickBot="1">
      <c r="A31" s="37" t="s">
        <v>42</v>
      </c>
      <c r="B31" s="52" t="s">
        <v>6</v>
      </c>
      <c r="C31" s="40"/>
      <c r="D31" s="44"/>
      <c r="E31" s="44"/>
      <c r="F31" s="40"/>
      <c r="G31" s="40"/>
      <c r="H31" s="40"/>
      <c r="I31" s="40"/>
      <c r="J31" s="40"/>
      <c r="K31" s="40"/>
      <c r="L31" s="40"/>
      <c r="M31" s="40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"/>
      <c r="Z31" s="62"/>
      <c r="AA31" s="56"/>
    </row>
    <row r="32" spans="1:27" ht="15" customHeight="1" hidden="1" thickBot="1">
      <c r="A32" s="37" t="s">
        <v>45</v>
      </c>
      <c r="B32" s="33" t="s">
        <v>23</v>
      </c>
      <c r="C32" s="40"/>
      <c r="D32" s="44"/>
      <c r="E32" s="44"/>
      <c r="F32" s="40"/>
      <c r="G32" s="40"/>
      <c r="H32" s="40"/>
      <c r="I32" s="40"/>
      <c r="J32" s="40"/>
      <c r="K32" s="40"/>
      <c r="L32" s="40"/>
      <c r="M32" s="40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0"/>
      <c r="Z32" s="61"/>
      <c r="AA32" s="57"/>
    </row>
    <row r="33" spans="1:27" ht="24" customHeight="1" hidden="1" thickBot="1">
      <c r="A33" s="53" t="s">
        <v>49</v>
      </c>
      <c r="B33" s="34" t="s">
        <v>46</v>
      </c>
      <c r="C33" s="41"/>
      <c r="D33" s="45"/>
      <c r="E33" s="45"/>
      <c r="F33" s="41"/>
      <c r="G33" s="41"/>
      <c r="H33" s="41"/>
      <c r="I33" s="41"/>
      <c r="J33" s="41"/>
      <c r="K33" s="41"/>
      <c r="L33" s="41"/>
      <c r="M33" s="4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>
        <f>SUM(Y29-Y31)</f>
        <v>-16257.828999999998</v>
      </c>
      <c r="Z33" s="63"/>
      <c r="AA33" s="58"/>
    </row>
    <row r="34" spans="1:27" ht="24" customHeight="1" hidden="1" thickBot="1">
      <c r="A34" s="64" t="s">
        <v>52</v>
      </c>
      <c r="B34" s="34" t="s">
        <v>24</v>
      </c>
      <c r="C34" s="41"/>
      <c r="D34" s="45"/>
      <c r="E34" s="45"/>
      <c r="F34" s="41"/>
      <c r="G34" s="41"/>
      <c r="H34" s="41"/>
      <c r="I34" s="41"/>
      <c r="J34" s="41"/>
      <c r="K34" s="41"/>
      <c r="L34" s="41"/>
      <c r="M34" s="4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>
        <f>SUM(Y30-Y31)</f>
        <v>-106224.422</v>
      </c>
      <c r="Z34" s="63"/>
      <c r="AA34" s="58"/>
    </row>
    <row r="35" spans="3:27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</row>
    <row r="36" ht="12.75" customHeight="1">
      <c r="B36" t="s">
        <v>64</v>
      </c>
    </row>
    <row r="37" ht="12.75" hidden="1"/>
    <row r="38" ht="12.75" hidden="1"/>
    <row r="39" ht="12.75" hidden="1"/>
    <row r="44" ht="12.75" customHeight="1"/>
    <row r="45" ht="12.75" customHeight="1"/>
  </sheetData>
  <sheetProtection/>
  <mergeCells count="5">
    <mergeCell ref="B4:AA4"/>
    <mergeCell ref="B5:AA5"/>
    <mergeCell ref="B3:AA3"/>
    <mergeCell ref="B1:P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2021-02-05T06:30:21Z</cp:lastPrinted>
  <dcterms:created xsi:type="dcterms:W3CDTF">2011-06-16T11:06:26Z</dcterms:created>
  <dcterms:modified xsi:type="dcterms:W3CDTF">2021-02-05T06:30:35Z</dcterms:modified>
  <cp:category/>
  <cp:version/>
  <cp:contentType/>
  <cp:contentStatus/>
</cp:coreProperties>
</file>