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<sst xmlns="http://schemas.openxmlformats.org/spreadsheetml/2006/main" count="82" uniqueCount="81">
  <si>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</si>
  <si>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</si>
  <si>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</si>
  <si>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</si>
  <si>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</si>
  <si>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</si>
  <si>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</si>
  <si>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</si>
  <si>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</si>
  <si>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</si>
  <si>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</si>
  <si>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</si>
  <si>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</si>
  <si>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</si>
  <si>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</si>
  <si>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</si>
  <si>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</si>
  <si>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</si>
  <si>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</si>
  <si>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</si>
  <si>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</si>
  <si>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</si>
  <si>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</si>
  <si>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</si>
  <si>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</si>
  <si>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</si>
  <si>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</si>
  <si>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</si>
  <si>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</si>
  <si>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</si>
  <si>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</si>
  <si>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</si>
  <si>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</si>
  <si>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</si>
  <si>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</si>
  <si>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</si>
  <si>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</si>
  <si>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</si>
  <si>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</si>
  <si>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</si>
  <si>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</si>
  <si>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</si>
  <si>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</si>
  <si>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</si>
  <si>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</si>
  <si>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</si>
  <si>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Советская д.9</t>
  </si>
  <si>
    <t>Итого за 2011 г</t>
  </si>
  <si>
    <t>Проверка дымовых каналов</t>
  </si>
  <si>
    <t>11</t>
  </si>
  <si>
    <t>Результат за месяц</t>
  </si>
  <si>
    <t>Благоустройство территории</t>
  </si>
  <si>
    <t>Итого за 2012 г</t>
  </si>
  <si>
    <t>4.12</t>
  </si>
  <si>
    <t>4.14</t>
  </si>
  <si>
    <t>4.15</t>
  </si>
  <si>
    <t>Материалы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</si>
  <si>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</si>
  <si>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</si>
  <si>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</si>
  <si>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</si>
  <si>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</si>
  <si>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</si>
  <si>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</si>
  <si>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</si>
  <si>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</si>
  <si>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</si>
  <si>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 СОИД</t>
  </si>
  <si>
    <t>Электроэнергия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</si>
  <si>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</si>
  <si>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</si>
  <si>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</si>
  <si>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Транспортные(ГСМ,зап.части,амортизация,страхов)</t>
  </si>
  <si>
    <t>Итого за 2018 г</t>
  </si>
  <si>
    <t>Итого за 2019 г</t>
  </si>
  <si>
    <t>Дом по ул.Советская  д.9  вступил в ООО "Наш дом" с ноября 2009 года             тариф 9,2 руб с января 2019 года тариф 8,6 руб.</t>
  </si>
  <si>
    <t>ООО "НД УНЕЧА"</t>
  </si>
  <si>
    <t>Итого за 2020 г</t>
  </si>
  <si>
    <t>Всего за 2009-2020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</si>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</sst>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5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1" fillId="2" borderId="35" xfId="0" applyFont="1" applyFill="1" applyBorder="1" applyAlignment="1">
      <alignment wrapText="1"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19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 horizontal="right" wrapText="1"/>
    </xf>
    <xf numFmtId="0" fontId="27" fillId="0" borderId="32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8" fillId="0" borderId="23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8" fillId="0" borderId="43" xfId="0" applyFont="1" applyBorder="1" applyAlignment="1">
      <alignment wrapText="1"/>
    </xf>
    <xf numFmtId="0" fontId="28" fillId="0" borderId="52" xfId="0" applyFont="1" applyBorder="1" applyAlignment="1">
      <alignment wrapText="1"/>
    </xf>
    <xf numFmtId="0" fontId="28" fillId="0" borderId="51" xfId="0" applyFont="1" applyBorder="1" applyAlignment="1">
      <alignment wrapText="1"/>
    </xf>
    <xf numFmtId="0" fontId="28" fillId="0" borderId="52" xfId="0" applyFont="1" applyBorder="1" applyAlignment="1">
      <alignment/>
    </xf>
    <xf numFmtId="2" fontId="28" fillId="0" borderId="35" xfId="0" applyNumberFormat="1" applyFont="1" applyBorder="1" applyAlignment="1">
      <alignment/>
    </xf>
    <xf numFmtId="2" fontId="28" fillId="0" borderId="51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2" fontId="28" fillId="0" borderId="53" xfId="0" applyNumberFormat="1" applyFont="1" applyBorder="1" applyAlignment="1">
      <alignment/>
    </xf>
    <xf numFmtId="0" fontId="28" fillId="0" borderId="51" xfId="0" applyFont="1" applyBorder="1" applyAlignment="1">
      <alignment/>
    </xf>
    <xf numFmtId="0" fontId="22" fillId="0" borderId="43" xfId="0" applyFont="1" applyBorder="1" applyAlignment="1">
      <alignment/>
    </xf>
    <xf numFmtId="0" fontId="24" fillId="0" borderId="4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1" fillId="0" borderId="49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0.2421875" style="26" customWidth="1"/>
    <col min="2" max="2" width="20.375" style="0" customWidth="1"/>
    <col min="3" max="3" width="6.875" style="0" hidden="1" customWidth="1"/>
    <col min="4" max="4" width="7.125" style="0" hidden="1" customWidth="1"/>
    <col min="5" max="5" width="7.25390625" style="0" hidden="1" customWidth="1"/>
    <col min="6" max="6" width="10.00390625" style="0" hidden="1" customWidth="1"/>
    <col min="7" max="7" width="8.875" style="0" hidden="1" customWidth="1"/>
    <col min="8" max="8" width="9.625" style="0" hidden="1" customWidth="1"/>
    <col min="9" max="9" width="9.125" style="0" hidden="1" customWidth="1"/>
    <col min="10" max="10" width="9.25390625" style="0" hidden="1" customWidth="1"/>
    <col min="11" max="11" width="8.375" style="0" hidden="1" customWidth="1"/>
    <col min="12" max="13" width="8.625" style="0" hidden="1" customWidth="1"/>
    <col min="14" max="14" width="8.875" style="0" customWidth="1"/>
    <col min="15" max="15" width="8.625" style="0" customWidth="1"/>
    <col min="16" max="16" width="9.00390625" style="0" customWidth="1"/>
    <col min="17" max="17" width="9.125" style="0" customWidth="1"/>
    <col min="18" max="18" width="8.875" style="0" customWidth="1"/>
    <col min="19" max="19" width="8.625" style="0" customWidth="1"/>
    <col min="20" max="20" width="8.75390625" style="0" customWidth="1"/>
    <col min="21" max="21" width="8.625" style="0" customWidth="1"/>
    <col min="22" max="22" width="9.00390625" style="0" customWidth="1"/>
    <col min="23" max="23" width="9.125" style="0" customWidth="1"/>
    <col min="24" max="24" width="9.25390625" style="0" customWidth="1"/>
    <col min="25" max="25" width="9.00390625" style="0" customWidth="1"/>
    <col min="26" max="26" width="8.75390625" style="0" customWidth="1"/>
    <col min="27" max="27" width="9.75390625" style="0" customWidth="1"/>
  </cols>
  <sheetData>
    <row r="1" spans="2:32" ht="12.75" customHeight="1">
      <c r="B1" s="110" t="s">
        <v>76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10" t="s">
        <v>75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1"/>
      <c r="Y2" s="111"/>
      <c r="Z2" s="111"/>
      <c r="AA2" s="4"/>
      <c r="AB2" s="4"/>
      <c r="AC2" s="4"/>
      <c r="AD2" s="4"/>
      <c r="AE2" s="4"/>
      <c r="AF2" s="4"/>
    </row>
    <row r="3" spans="2:32" ht="12.7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3"/>
      <c r="AC3" s="3"/>
      <c r="AD3" s="3"/>
      <c r="AE3" s="3"/>
      <c r="AF3" s="3"/>
    </row>
    <row r="4" spans="2:32" ht="16.5" customHeight="1">
      <c r="B4" s="108" t="s">
        <v>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2"/>
      <c r="AC4" s="2"/>
      <c r="AD4" s="2"/>
      <c r="AE4" s="2"/>
      <c r="AF4" s="2"/>
    </row>
    <row r="5" spans="2:32" ht="15.75" customHeight="1" thickBot="1">
      <c r="B5" s="108" t="s">
        <v>46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2"/>
      <c r="AC5" s="2"/>
      <c r="AD5" s="2"/>
      <c r="AE5" s="2"/>
      <c r="AF5" s="2"/>
    </row>
    <row r="6" spans="2:32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</row>
    <row r="7" spans="1:32" ht="33.75" customHeight="1" thickBot="1">
      <c r="A7" s="35" t="s">
        <v>24</v>
      </c>
      <c r="B7" s="27" t="s">
        <v>5</v>
      </c>
      <c r="C7" s="38" t="s">
        <v>42</v>
      </c>
      <c r="D7" s="42" t="s">
        <v>43</v>
      </c>
      <c r="E7" s="71" t="s">
        <v>47</v>
      </c>
      <c r="F7" s="57" t="s">
        <v>52</v>
      </c>
      <c r="G7" s="57" t="s">
        <v>57</v>
      </c>
      <c r="H7" s="57" t="s">
        <v>58</v>
      </c>
      <c r="I7" s="57" t="s">
        <v>60</v>
      </c>
      <c r="J7" s="57" t="s">
        <v>65</v>
      </c>
      <c r="K7" s="57" t="s">
        <v>66</v>
      </c>
      <c r="L7" s="57" t="s">
        <v>73</v>
      </c>
      <c r="M7" s="57" t="s">
        <v>74</v>
      </c>
      <c r="N7" s="6" t="s">
        <v>9</v>
      </c>
      <c r="O7" s="6" t="s">
        <v>9</v>
      </c>
      <c r="P7" s="5" t="s">
        <v>10</v>
      </c>
      <c r="Q7" s="5" t="s">
        <v>11</v>
      </c>
      <c r="R7" s="5" t="s">
        <v>12</v>
      </c>
      <c r="S7" s="5" t="s">
        <v>13</v>
      </c>
      <c r="T7" s="5" t="s">
        <v>14</v>
      </c>
      <c r="U7" s="5" t="s">
        <v>15</v>
      </c>
      <c r="V7" s="5" t="s">
        <v>16</v>
      </c>
      <c r="W7" s="5" t="s">
        <v>17</v>
      </c>
      <c r="X7" s="5" t="s">
        <v>19</v>
      </c>
      <c r="Y7" s="15" t="s">
        <v>18</v>
      </c>
      <c r="Z7" s="57" t="s">
        <v>77</v>
      </c>
      <c r="AA7" s="52" t="s">
        <v>78</v>
      </c>
      <c r="AB7" s="1"/>
      <c r="AC7" s="1"/>
      <c r="AD7" s="1"/>
      <c r="AE7" s="1"/>
      <c r="AF7" s="1"/>
    </row>
    <row r="8" spans="1:27" ht="13.5" thickBot="1">
      <c r="A8" s="36" t="s">
        <v>25</v>
      </c>
      <c r="B8" s="28" t="s">
        <v>1</v>
      </c>
      <c r="C8" s="68">
        <v>11908.48</v>
      </c>
      <c r="D8" s="69">
        <v>71331.28</v>
      </c>
      <c r="E8" s="72">
        <v>71217.2</v>
      </c>
      <c r="F8" s="70">
        <v>71174.88</v>
      </c>
      <c r="G8" s="69">
        <v>71174.88</v>
      </c>
      <c r="H8" s="70">
        <v>71193.28</v>
      </c>
      <c r="I8" s="69">
        <v>71141.76</v>
      </c>
      <c r="J8" s="69">
        <v>71023.08</v>
      </c>
      <c r="K8" s="69">
        <v>70976.16</v>
      </c>
      <c r="L8" s="69">
        <v>70976.16</v>
      </c>
      <c r="M8" s="69">
        <v>66347.28</v>
      </c>
      <c r="N8" s="7">
        <v>5528.94</v>
      </c>
      <c r="O8" s="7">
        <v>5528.94</v>
      </c>
      <c r="P8" s="7">
        <v>5528.94</v>
      </c>
      <c r="Q8" s="7">
        <v>5528.94</v>
      </c>
      <c r="R8" s="7">
        <v>5528.94</v>
      </c>
      <c r="S8" s="7">
        <v>5528.94</v>
      </c>
      <c r="T8" s="7">
        <v>5528.94</v>
      </c>
      <c r="U8" s="7">
        <v>5528.94</v>
      </c>
      <c r="V8" s="7">
        <v>5528.94</v>
      </c>
      <c r="W8" s="7">
        <v>5528.94</v>
      </c>
      <c r="X8" s="7">
        <v>5528.94</v>
      </c>
      <c r="Y8" s="7">
        <v>5528.94</v>
      </c>
      <c r="Z8" s="58">
        <f aca="true" t="shared" si="0" ref="Z8:Z28">SUM(N8:Y8)</f>
        <v>66347.28000000001</v>
      </c>
      <c r="AA8" s="82">
        <f>SUM(C8:Y8)</f>
        <v>784811.7199999994</v>
      </c>
    </row>
    <row r="9" spans="1:27" ht="13.5" thickBot="1">
      <c r="A9" s="36"/>
      <c r="B9" s="28" t="s">
        <v>67</v>
      </c>
      <c r="C9" s="68"/>
      <c r="D9" s="70"/>
      <c r="E9" s="72"/>
      <c r="F9" s="70"/>
      <c r="G9" s="70"/>
      <c r="H9" s="70"/>
      <c r="I9" s="70"/>
      <c r="J9" s="70"/>
      <c r="K9" s="70">
        <v>3567.78</v>
      </c>
      <c r="L9" s="70">
        <v>2266.98</v>
      </c>
      <c r="M9" s="70">
        <v>723.06</v>
      </c>
      <c r="N9" s="7">
        <f aca="true" t="shared" si="1" ref="N9:S9">31.58+30.53</f>
        <v>62.11</v>
      </c>
      <c r="O9" s="7">
        <f t="shared" si="1"/>
        <v>62.11</v>
      </c>
      <c r="P9" s="7">
        <f t="shared" si="1"/>
        <v>62.11</v>
      </c>
      <c r="Q9" s="7">
        <f t="shared" si="1"/>
        <v>62.11</v>
      </c>
      <c r="R9" s="7">
        <f t="shared" si="1"/>
        <v>62.11</v>
      </c>
      <c r="S9" s="7">
        <f t="shared" si="1"/>
        <v>62.11</v>
      </c>
      <c r="T9" s="8">
        <f aca="true" t="shared" si="2" ref="T9:Y9">32.84+30.58</f>
        <v>63.42</v>
      </c>
      <c r="U9" s="8">
        <f t="shared" si="2"/>
        <v>63.42</v>
      </c>
      <c r="V9" s="8">
        <f t="shared" si="2"/>
        <v>63.42</v>
      </c>
      <c r="W9" s="8">
        <f t="shared" si="2"/>
        <v>63.42</v>
      </c>
      <c r="X9" s="8">
        <f t="shared" si="2"/>
        <v>63.42</v>
      </c>
      <c r="Y9" s="8">
        <f t="shared" si="2"/>
        <v>63.42</v>
      </c>
      <c r="Z9" s="58">
        <f t="shared" si="0"/>
        <v>753.18</v>
      </c>
      <c r="AA9" s="82">
        <f>SUM(C9:Y9)</f>
        <v>7310.999999999998</v>
      </c>
    </row>
    <row r="10" spans="1:27" ht="13.5" thickBot="1">
      <c r="A10" s="36"/>
      <c r="B10" s="104" t="s">
        <v>79</v>
      </c>
      <c r="C10" s="105"/>
      <c r="D10" s="106"/>
      <c r="E10" s="105"/>
      <c r="F10" s="106"/>
      <c r="G10" s="106"/>
      <c r="H10" s="106"/>
      <c r="I10" s="106"/>
      <c r="J10" s="106"/>
      <c r="K10" s="106"/>
      <c r="L10" s="106"/>
      <c r="M10" s="106"/>
      <c r="N10" s="107">
        <v>400</v>
      </c>
      <c r="O10" s="107">
        <v>400</v>
      </c>
      <c r="P10" s="107">
        <v>400</v>
      </c>
      <c r="Q10" s="107">
        <v>400</v>
      </c>
      <c r="R10" s="107">
        <v>400</v>
      </c>
      <c r="S10" s="107">
        <v>400</v>
      </c>
      <c r="T10" s="107">
        <v>400</v>
      </c>
      <c r="U10" s="107">
        <v>400</v>
      </c>
      <c r="V10" s="107">
        <v>400</v>
      </c>
      <c r="W10" s="107">
        <v>400</v>
      </c>
      <c r="X10" s="107">
        <v>400</v>
      </c>
      <c r="Y10" s="107">
        <v>400</v>
      </c>
      <c r="Z10" s="58">
        <f>SUM(N10:Y10)</f>
        <v>4800</v>
      </c>
      <c r="AA10" s="82">
        <f>SUM(C10:Y10)</f>
        <v>4800</v>
      </c>
    </row>
    <row r="11" spans="1:27" s="93" customFormat="1" ht="13.5" thickBot="1">
      <c r="A11" s="87" t="s">
        <v>26</v>
      </c>
      <c r="B11" s="88" t="s">
        <v>2</v>
      </c>
      <c r="C11" s="89">
        <v>6058.73</v>
      </c>
      <c r="D11" s="90">
        <f aca="true" t="shared" si="3" ref="D11:N11">SUM(D12:D26)</f>
        <v>61551</v>
      </c>
      <c r="E11" s="89">
        <f t="shared" si="3"/>
        <v>67004.77</v>
      </c>
      <c r="F11" s="90">
        <f t="shared" si="3"/>
        <v>68527.27</v>
      </c>
      <c r="G11" s="90">
        <f t="shared" si="3"/>
        <v>121570.18999999999</v>
      </c>
      <c r="H11" s="90">
        <f t="shared" si="3"/>
        <v>92638.76</v>
      </c>
      <c r="I11" s="90">
        <f>SUM(I12:I26)</f>
        <v>81354.87</v>
      </c>
      <c r="J11" s="90">
        <f>SUM(J12:J26)</f>
        <v>75857.30000000002</v>
      </c>
      <c r="K11" s="90">
        <f>SUM(K12:K26)</f>
        <v>83289.54999999999</v>
      </c>
      <c r="L11" s="90">
        <f t="shared" si="3"/>
        <v>92308.20000000001</v>
      </c>
      <c r="M11" s="90">
        <f t="shared" si="3"/>
        <v>69444.62000000001</v>
      </c>
      <c r="N11" s="91">
        <f t="shared" si="3"/>
        <v>5875.26</v>
      </c>
      <c r="O11" s="91">
        <f aca="true" t="shared" si="4" ref="O11:Y11">SUM(O12:O26)</f>
        <v>10997.850000000002</v>
      </c>
      <c r="P11" s="91">
        <f t="shared" si="4"/>
        <v>5860</v>
      </c>
      <c r="Q11" s="91">
        <f t="shared" si="4"/>
        <v>5544.85</v>
      </c>
      <c r="R11" s="91">
        <f t="shared" si="4"/>
        <v>5972.129999999999</v>
      </c>
      <c r="S11" s="91">
        <f t="shared" si="4"/>
        <v>5752.16</v>
      </c>
      <c r="T11" s="91">
        <f t="shared" si="4"/>
        <v>6294.73</v>
      </c>
      <c r="U11" s="91">
        <f t="shared" si="4"/>
        <v>7657.77</v>
      </c>
      <c r="V11" s="91">
        <f t="shared" si="4"/>
        <v>6928.92</v>
      </c>
      <c r="W11" s="91">
        <f t="shared" si="4"/>
        <v>5824.46</v>
      </c>
      <c r="X11" s="91">
        <f t="shared" si="4"/>
        <v>11133.270000000002</v>
      </c>
      <c r="Y11" s="89">
        <f t="shared" si="4"/>
        <v>7201.53</v>
      </c>
      <c r="Z11" s="90">
        <f t="shared" si="0"/>
        <v>85042.93000000001</v>
      </c>
      <c r="AA11" s="92">
        <f>SUM(C11:Y11)</f>
        <v>904648.19</v>
      </c>
    </row>
    <row r="12" spans="1:27" ht="12.75" customHeight="1" thickBot="1">
      <c r="A12" s="36" t="s">
        <v>27</v>
      </c>
      <c r="B12" s="30" t="s">
        <v>80</v>
      </c>
      <c r="C12" s="46"/>
      <c r="D12" s="47">
        <v>9280.04</v>
      </c>
      <c r="E12" s="73">
        <v>11294.83</v>
      </c>
      <c r="F12" s="47">
        <v>11569.21</v>
      </c>
      <c r="G12" s="47">
        <v>17060.66</v>
      </c>
      <c r="H12" s="47">
        <v>16697.72</v>
      </c>
      <c r="I12" s="47">
        <v>14723.04</v>
      </c>
      <c r="J12" s="47">
        <v>16699.83</v>
      </c>
      <c r="K12" s="47">
        <v>17263.32</v>
      </c>
      <c r="L12" s="47">
        <v>18690.96</v>
      </c>
      <c r="M12" s="47">
        <v>186.97</v>
      </c>
      <c r="N12" s="7"/>
      <c r="O12" s="8">
        <v>12.56</v>
      </c>
      <c r="P12" s="8">
        <v>14.14</v>
      </c>
      <c r="Q12" s="8">
        <v>15.85</v>
      </c>
      <c r="R12" s="8">
        <v>25.38</v>
      </c>
      <c r="S12" s="8">
        <v>18.68</v>
      </c>
      <c r="T12" s="8">
        <v>29.62</v>
      </c>
      <c r="U12" s="8">
        <v>26.57</v>
      </c>
      <c r="V12" s="8">
        <v>63.09</v>
      </c>
      <c r="W12" s="8">
        <v>24.97</v>
      </c>
      <c r="X12" s="8">
        <v>2.01</v>
      </c>
      <c r="Y12" s="16">
        <v>2.68</v>
      </c>
      <c r="Z12" s="59">
        <f t="shared" si="0"/>
        <v>235.55</v>
      </c>
      <c r="AA12" s="83">
        <f aca="true" t="shared" si="5" ref="AA12:AA26">SUM(C12:Y12)</f>
        <v>133702.13</v>
      </c>
    </row>
    <row r="13" spans="1:27" ht="15" customHeight="1" thickBot="1">
      <c r="A13" s="36" t="s">
        <v>28</v>
      </c>
      <c r="B13" s="31" t="s">
        <v>61</v>
      </c>
      <c r="C13" s="48"/>
      <c r="D13" s="49">
        <v>17661.38</v>
      </c>
      <c r="E13" s="74">
        <v>6680.81</v>
      </c>
      <c r="F13" s="49">
        <f>2101.33+620</f>
        <v>2721.33</v>
      </c>
      <c r="G13" s="49">
        <v>6001</v>
      </c>
      <c r="H13" s="49">
        <f>2219.79+3120</f>
        <v>5339.79</v>
      </c>
      <c r="I13" s="49">
        <v>5550.42</v>
      </c>
      <c r="J13" s="49">
        <v>3093.45</v>
      </c>
      <c r="K13" s="49">
        <v>2200.96</v>
      </c>
      <c r="L13" s="49">
        <v>1084.6</v>
      </c>
      <c r="M13" s="49">
        <v>646</v>
      </c>
      <c r="N13" s="9"/>
      <c r="O13" s="10">
        <v>5120</v>
      </c>
      <c r="P13" s="10"/>
      <c r="Q13" s="10"/>
      <c r="R13" s="10"/>
      <c r="S13" s="10"/>
      <c r="T13" s="10"/>
      <c r="U13" s="10">
        <v>1200</v>
      </c>
      <c r="V13" s="10"/>
      <c r="W13" s="10"/>
      <c r="X13" s="10"/>
      <c r="Y13" s="17"/>
      <c r="Z13" s="59">
        <f t="shared" si="0"/>
        <v>6320</v>
      </c>
      <c r="AA13" s="83">
        <f t="shared" si="5"/>
        <v>57299.74</v>
      </c>
    </row>
    <row r="14" spans="1:27" ht="18" customHeight="1" thickBot="1">
      <c r="A14" s="36" t="s">
        <v>29</v>
      </c>
      <c r="B14" s="29" t="s">
        <v>4</v>
      </c>
      <c r="C14" s="48"/>
      <c r="D14" s="49">
        <v>0</v>
      </c>
      <c r="E14" s="74">
        <v>2435.4</v>
      </c>
      <c r="F14" s="49">
        <v>0</v>
      </c>
      <c r="G14" s="49">
        <v>0</v>
      </c>
      <c r="H14" s="49">
        <v>4706.6</v>
      </c>
      <c r="I14" s="49">
        <v>0</v>
      </c>
      <c r="J14" s="49">
        <v>0</v>
      </c>
      <c r="K14" s="49">
        <v>5084.3</v>
      </c>
      <c r="L14" s="49">
        <v>6899.79</v>
      </c>
      <c r="M14" s="49">
        <v>3897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>
        <v>4077</v>
      </c>
      <c r="Y14" s="17"/>
      <c r="Z14" s="59">
        <f t="shared" si="0"/>
        <v>4077</v>
      </c>
      <c r="AA14" s="83">
        <f t="shared" si="5"/>
        <v>27100.09</v>
      </c>
    </row>
    <row r="15" spans="1:27" ht="20.25" customHeight="1" thickBot="1">
      <c r="A15" s="36" t="s">
        <v>30</v>
      </c>
      <c r="B15" s="29" t="s">
        <v>48</v>
      </c>
      <c r="C15" s="48">
        <v>0</v>
      </c>
      <c r="D15" s="49">
        <v>0</v>
      </c>
      <c r="E15" s="74">
        <v>808.2</v>
      </c>
      <c r="F15" s="49">
        <v>0</v>
      </c>
      <c r="G15" s="49">
        <v>0</v>
      </c>
      <c r="H15" s="49"/>
      <c r="I15" s="49">
        <v>700</v>
      </c>
      <c r="J15" s="49">
        <v>0</v>
      </c>
      <c r="K15" s="49">
        <v>0</v>
      </c>
      <c r="L15" s="49">
        <v>0</v>
      </c>
      <c r="M15" s="49">
        <v>0</v>
      </c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59">
        <f t="shared" si="0"/>
        <v>0</v>
      </c>
      <c r="AA15" s="83">
        <f t="shared" si="5"/>
        <v>1508.2</v>
      </c>
    </row>
    <row r="16" spans="1:27" ht="15.75" customHeight="1" thickBot="1">
      <c r="A16" s="36" t="s">
        <v>31</v>
      </c>
      <c r="B16" s="31" t="s">
        <v>56</v>
      </c>
      <c r="C16" s="48"/>
      <c r="D16" s="49">
        <v>11803.24</v>
      </c>
      <c r="E16" s="74">
        <v>6634.84</v>
      </c>
      <c r="F16" s="49">
        <v>2433.96</v>
      </c>
      <c r="G16" s="49">
        <v>37561.32</v>
      </c>
      <c r="H16" s="49">
        <v>2593</v>
      </c>
      <c r="I16" s="49">
        <v>1323.89</v>
      </c>
      <c r="J16" s="49">
        <v>8326.56</v>
      </c>
      <c r="K16" s="49">
        <v>545.4</v>
      </c>
      <c r="L16" s="49">
        <v>1464.04</v>
      </c>
      <c r="M16" s="49">
        <v>36.8</v>
      </c>
      <c r="N16" s="9"/>
      <c r="O16" s="10"/>
      <c r="P16" s="10"/>
      <c r="Q16" s="10"/>
      <c r="R16" s="10"/>
      <c r="S16" s="10"/>
      <c r="T16" s="10"/>
      <c r="U16" s="10"/>
      <c r="V16" s="10">
        <v>98.15</v>
      </c>
      <c r="W16" s="10"/>
      <c r="X16" s="10"/>
      <c r="Y16" s="17"/>
      <c r="Z16" s="59">
        <f t="shared" si="0"/>
        <v>98.15</v>
      </c>
      <c r="AA16" s="83">
        <f>SUM(C16:Y16)</f>
        <v>72821.19999999998</v>
      </c>
    </row>
    <row r="17" spans="1:27" ht="20.25" customHeight="1" thickBot="1">
      <c r="A17" s="36" t="s">
        <v>32</v>
      </c>
      <c r="B17" s="31" t="s">
        <v>51</v>
      </c>
      <c r="C17" s="48">
        <v>0</v>
      </c>
      <c r="D17" s="49">
        <v>0</v>
      </c>
      <c r="E17" s="74">
        <v>0</v>
      </c>
      <c r="F17" s="49">
        <v>256</v>
      </c>
      <c r="G17" s="49">
        <v>0</v>
      </c>
      <c r="H17" s="49">
        <v>9033.72</v>
      </c>
      <c r="I17" s="49">
        <v>52.96</v>
      </c>
      <c r="J17" s="49">
        <v>186</v>
      </c>
      <c r="K17" s="49">
        <v>152.02</v>
      </c>
      <c r="L17" s="49">
        <v>78</v>
      </c>
      <c r="M17" s="49">
        <v>87.68</v>
      </c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59">
        <f t="shared" si="0"/>
        <v>0</v>
      </c>
      <c r="AA17" s="83">
        <f>SUM(C17:Y17)</f>
        <v>9846.38</v>
      </c>
    </row>
    <row r="18" spans="1:27" ht="13.5" customHeight="1" thickBot="1">
      <c r="A18" s="36" t="s">
        <v>33</v>
      </c>
      <c r="B18" s="31" t="s">
        <v>68</v>
      </c>
      <c r="C18" s="48"/>
      <c r="D18" s="49">
        <v>1762.18</v>
      </c>
      <c r="E18" s="74">
        <v>503.96</v>
      </c>
      <c r="F18" s="49">
        <v>553.45</v>
      </c>
      <c r="G18" s="49">
        <v>0</v>
      </c>
      <c r="H18" s="49"/>
      <c r="I18" s="49">
        <v>0</v>
      </c>
      <c r="J18" s="49">
        <v>0</v>
      </c>
      <c r="K18" s="49">
        <v>3083.91</v>
      </c>
      <c r="L18" s="49">
        <v>1568.4</v>
      </c>
      <c r="M18" s="49">
        <v>0</v>
      </c>
      <c r="N18" s="9"/>
      <c r="O18" s="9"/>
      <c r="P18" s="9"/>
      <c r="Q18" s="9"/>
      <c r="R18" s="9"/>
      <c r="S18" s="9"/>
      <c r="T18" s="10"/>
      <c r="U18" s="10"/>
      <c r="V18" s="10"/>
      <c r="W18" s="10"/>
      <c r="X18" s="10"/>
      <c r="Y18" s="10"/>
      <c r="Z18" s="59">
        <f t="shared" si="0"/>
        <v>0</v>
      </c>
      <c r="AA18" s="83">
        <f t="shared" si="5"/>
        <v>7471.9</v>
      </c>
    </row>
    <row r="19" spans="1:27" ht="13.5" customHeight="1" thickBot="1">
      <c r="A19" s="36"/>
      <c r="B19" s="31" t="s">
        <v>69</v>
      </c>
      <c r="C19" s="48"/>
      <c r="D19" s="49"/>
      <c r="E19" s="74"/>
      <c r="F19" s="49"/>
      <c r="G19" s="49"/>
      <c r="H19" s="49"/>
      <c r="I19" s="49"/>
      <c r="J19" s="49"/>
      <c r="K19" s="49">
        <v>293.94</v>
      </c>
      <c r="L19" s="49">
        <v>370.62</v>
      </c>
      <c r="M19" s="49">
        <v>375.12</v>
      </c>
      <c r="N19" s="9">
        <v>31.54</v>
      </c>
      <c r="O19" s="9">
        <v>31.54</v>
      </c>
      <c r="P19" s="9">
        <v>31.54</v>
      </c>
      <c r="Q19" s="9">
        <v>31.54</v>
      </c>
      <c r="R19" s="9">
        <v>31.54</v>
      </c>
      <c r="S19" s="9">
        <v>31.54</v>
      </c>
      <c r="T19" s="9">
        <v>32.83</v>
      </c>
      <c r="U19" s="9">
        <v>32.83</v>
      </c>
      <c r="V19" s="9">
        <v>32.83</v>
      </c>
      <c r="W19" s="9">
        <v>32.83</v>
      </c>
      <c r="X19" s="9">
        <v>32.83</v>
      </c>
      <c r="Y19" s="9">
        <v>32.83</v>
      </c>
      <c r="Z19" s="59">
        <f t="shared" si="0"/>
        <v>386.2199999999999</v>
      </c>
      <c r="AA19" s="83">
        <f>SUM(C19:Y19)</f>
        <v>1425.8999999999992</v>
      </c>
    </row>
    <row r="20" spans="1:27" ht="13.5" customHeight="1" thickBot="1">
      <c r="A20" s="36"/>
      <c r="B20" s="31" t="s">
        <v>70</v>
      </c>
      <c r="C20" s="48"/>
      <c r="D20" s="49"/>
      <c r="E20" s="74"/>
      <c r="F20" s="49"/>
      <c r="G20" s="49"/>
      <c r="H20" s="49"/>
      <c r="I20" s="49"/>
      <c r="J20" s="49"/>
      <c r="K20" s="49">
        <v>189.69</v>
      </c>
      <c r="L20" s="49">
        <v>327.66</v>
      </c>
      <c r="M20" s="49">
        <v>344.49</v>
      </c>
      <c r="N20" s="9">
        <v>30.51</v>
      </c>
      <c r="O20" s="9">
        <v>30.51</v>
      </c>
      <c r="P20" s="9">
        <v>30.51</v>
      </c>
      <c r="Q20" s="9">
        <v>30.51</v>
      </c>
      <c r="R20" s="9">
        <v>30.51</v>
      </c>
      <c r="S20" s="9">
        <v>30.51</v>
      </c>
      <c r="T20" s="9">
        <v>30.6</v>
      </c>
      <c r="U20" s="9">
        <v>30.6</v>
      </c>
      <c r="V20" s="9">
        <v>30.6</v>
      </c>
      <c r="W20" s="9">
        <v>30.6</v>
      </c>
      <c r="X20" s="9">
        <v>30.6</v>
      </c>
      <c r="Y20" s="9">
        <v>30.6</v>
      </c>
      <c r="Z20" s="59">
        <f t="shared" si="0"/>
        <v>366.6600000000001</v>
      </c>
      <c r="AA20" s="83">
        <f>SUM(C20:Y20)</f>
        <v>1228.4999999999995</v>
      </c>
    </row>
    <row r="21" spans="1:27" ht="12" customHeight="1" thickBot="1">
      <c r="A21" s="36" t="s">
        <v>34</v>
      </c>
      <c r="B21" s="31" t="s">
        <v>71</v>
      </c>
      <c r="C21" s="48"/>
      <c r="D21" s="49">
        <v>754.07</v>
      </c>
      <c r="E21" s="74">
        <v>269.03</v>
      </c>
      <c r="F21" s="49">
        <v>295.1</v>
      </c>
      <c r="G21" s="49">
        <v>276.26</v>
      </c>
      <c r="H21" s="49"/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59">
        <f t="shared" si="0"/>
        <v>0</v>
      </c>
      <c r="AA21" s="83">
        <f t="shared" si="5"/>
        <v>1594.46</v>
      </c>
    </row>
    <row r="22" spans="1:27" ht="26.25" customHeight="1" thickBot="1">
      <c r="A22" s="36" t="s">
        <v>35</v>
      </c>
      <c r="B22" s="31" t="s">
        <v>72</v>
      </c>
      <c r="C22" s="48"/>
      <c r="D22" s="49">
        <v>879.67</v>
      </c>
      <c r="E22" s="74">
        <v>3131.78</v>
      </c>
      <c r="F22" s="49">
        <v>5072.79</v>
      </c>
      <c r="G22" s="49">
        <v>10937.97</v>
      </c>
      <c r="H22" s="49">
        <v>2627.78</v>
      </c>
      <c r="I22" s="49">
        <v>3096.99</v>
      </c>
      <c r="J22" s="49">
        <v>3269.29</v>
      </c>
      <c r="K22" s="49">
        <v>3319.5</v>
      </c>
      <c r="L22" s="49">
        <v>3488.34</v>
      </c>
      <c r="M22" s="49">
        <v>2823.84</v>
      </c>
      <c r="N22" s="9">
        <v>207.39</v>
      </c>
      <c r="O22" s="10">
        <v>185.91</v>
      </c>
      <c r="P22" s="10">
        <v>231.13</v>
      </c>
      <c r="Q22" s="10">
        <v>180.69</v>
      </c>
      <c r="R22" s="10">
        <v>186.96</v>
      </c>
      <c r="S22" s="10">
        <v>188.7</v>
      </c>
      <c r="T22" s="10">
        <v>218.25</v>
      </c>
      <c r="U22" s="10">
        <v>271.99</v>
      </c>
      <c r="V22" s="10">
        <v>261</v>
      </c>
      <c r="W22" s="10">
        <v>303.36</v>
      </c>
      <c r="X22" s="10">
        <v>282.13</v>
      </c>
      <c r="Y22" s="17">
        <v>257.55</v>
      </c>
      <c r="Z22" s="59">
        <f t="shared" si="0"/>
        <v>2775.0600000000004</v>
      </c>
      <c r="AA22" s="83">
        <f t="shared" si="5"/>
        <v>41423.009999999995</v>
      </c>
    </row>
    <row r="23" spans="1:27" ht="22.5" customHeight="1" thickBot="1">
      <c r="A23" s="36" t="s">
        <v>36</v>
      </c>
      <c r="B23" s="31" t="s">
        <v>62</v>
      </c>
      <c r="C23" s="48"/>
      <c r="D23" s="49">
        <v>1531.69</v>
      </c>
      <c r="E23" s="74">
        <v>1705.73</v>
      </c>
      <c r="F23" s="49">
        <v>511.14</v>
      </c>
      <c r="G23" s="49">
        <v>363.34</v>
      </c>
      <c r="H23" s="49">
        <v>790.5</v>
      </c>
      <c r="I23" s="49">
        <v>533.74</v>
      </c>
      <c r="J23" s="49">
        <v>465.06</v>
      </c>
      <c r="K23" s="49">
        <v>363.11</v>
      </c>
      <c r="L23" s="49">
        <v>351.85</v>
      </c>
      <c r="M23" s="49">
        <v>319.76</v>
      </c>
      <c r="N23" s="9">
        <v>11.91</v>
      </c>
      <c r="O23" s="10">
        <v>16.87</v>
      </c>
      <c r="P23" s="10">
        <v>16.17</v>
      </c>
      <c r="Q23" s="10">
        <v>16.15</v>
      </c>
      <c r="R23" s="10">
        <v>15.75</v>
      </c>
      <c r="S23" s="10">
        <v>13.76</v>
      </c>
      <c r="T23" s="10">
        <v>31.04</v>
      </c>
      <c r="U23" s="10">
        <v>16.11</v>
      </c>
      <c r="V23" s="10">
        <v>9.84</v>
      </c>
      <c r="W23" s="10">
        <v>29.71</v>
      </c>
      <c r="X23" s="10">
        <v>12.77</v>
      </c>
      <c r="Y23" s="17">
        <v>34.79</v>
      </c>
      <c r="Z23" s="59">
        <f t="shared" si="0"/>
        <v>224.87</v>
      </c>
      <c r="AA23" s="83">
        <f t="shared" si="5"/>
        <v>7160.79</v>
      </c>
    </row>
    <row r="24" spans="1:27" ht="34.5" thickBot="1">
      <c r="A24" s="36" t="s">
        <v>53</v>
      </c>
      <c r="B24" s="31" t="s">
        <v>63</v>
      </c>
      <c r="C24" s="48"/>
      <c r="D24" s="49">
        <v>921.64</v>
      </c>
      <c r="E24" s="74">
        <v>2795.33</v>
      </c>
      <c r="F24" s="49">
        <v>2657.03</v>
      </c>
      <c r="G24" s="49">
        <v>3564.5</v>
      </c>
      <c r="H24" s="49">
        <v>3065.12</v>
      </c>
      <c r="I24" s="49">
        <v>3946.95</v>
      </c>
      <c r="J24" s="49">
        <v>3401.99</v>
      </c>
      <c r="K24" s="49">
        <v>3581.15</v>
      </c>
      <c r="L24" s="49">
        <v>3922.89</v>
      </c>
      <c r="M24" s="49">
        <v>4265.5</v>
      </c>
      <c r="N24" s="9">
        <f>8.47+111.58+181.95</f>
        <v>302</v>
      </c>
      <c r="O24" s="10">
        <f>8.79+131.08+195.2</f>
        <v>335.07</v>
      </c>
      <c r="P24" s="10">
        <f>8.38+118.25+200.12</f>
        <v>326.75</v>
      </c>
      <c r="Q24" s="10">
        <f>10.41+139.09+186.83</f>
        <v>336.33000000000004</v>
      </c>
      <c r="R24" s="10">
        <f>8.76+173.82+185.43</f>
        <v>368.01</v>
      </c>
      <c r="S24" s="10">
        <f>8.5+146.72+174.9</f>
        <v>330.12</v>
      </c>
      <c r="T24" s="10">
        <f>9.19+119.74+177.44</f>
        <v>306.37</v>
      </c>
      <c r="U24" s="10">
        <f>172.2+8.69+120.75</f>
        <v>301.64</v>
      </c>
      <c r="V24" s="10">
        <f>155.64+265.9</f>
        <v>421.53999999999996</v>
      </c>
      <c r="W24" s="10">
        <f>9.15+259.91+258.78</f>
        <v>527.8399999999999</v>
      </c>
      <c r="X24" s="10">
        <f>10.07+208.74+249.12</f>
        <v>467.93</v>
      </c>
      <c r="Y24" s="17">
        <f>11.36+290.02+228.58</f>
        <v>529.96</v>
      </c>
      <c r="Z24" s="59">
        <f t="shared" si="0"/>
        <v>4553.5599999999995</v>
      </c>
      <c r="AA24" s="83">
        <f t="shared" si="5"/>
        <v>36675.66</v>
      </c>
    </row>
    <row r="25" spans="1:27" ht="15.75" customHeight="1" thickBot="1">
      <c r="A25" s="36" t="s">
        <v>54</v>
      </c>
      <c r="B25" s="31" t="s">
        <v>7</v>
      </c>
      <c r="C25" s="48"/>
      <c r="D25" s="49">
        <v>14238.43</v>
      </c>
      <c r="E25" s="74">
        <v>26480.84</v>
      </c>
      <c r="F25" s="49">
        <v>33374.74</v>
      </c>
      <c r="G25" s="49">
        <v>35216.7</v>
      </c>
      <c r="H25" s="49">
        <v>36059.64</v>
      </c>
      <c r="I25" s="49">
        <v>39374.26</v>
      </c>
      <c r="J25" s="49">
        <v>26980.24</v>
      </c>
      <c r="K25" s="49">
        <v>33802.16</v>
      </c>
      <c r="L25" s="49">
        <v>39870.86</v>
      </c>
      <c r="M25" s="49">
        <v>42512.83</v>
      </c>
      <c r="N25" s="9">
        <f>5875.26-1595.69</f>
        <v>4279.57</v>
      </c>
      <c r="O25" s="10">
        <f>10997.85-7097.91</f>
        <v>3899.9400000000005</v>
      </c>
      <c r="P25" s="10">
        <f>5860-1882.2</f>
        <v>3977.8</v>
      </c>
      <c r="Q25" s="10">
        <f>5544.85-1667.69</f>
        <v>3877.1600000000003</v>
      </c>
      <c r="R25" s="10">
        <f>5972.13-2018.13</f>
        <v>3954</v>
      </c>
      <c r="S25" s="10">
        <f>5752.16-1784.58</f>
        <v>3967.58</v>
      </c>
      <c r="T25" s="10">
        <f>6294.73-1821.6</f>
        <v>4473.129999999999</v>
      </c>
      <c r="U25" s="10">
        <f>7657.77-3213.1</f>
        <v>4444.67</v>
      </c>
      <c r="V25" s="10">
        <f>6928.92-2381.51</f>
        <v>4547.41</v>
      </c>
      <c r="W25" s="10">
        <f>5824.46-2186.57</f>
        <v>3637.89</v>
      </c>
      <c r="X25" s="10">
        <f>11133.27-6142.76</f>
        <v>4990.51</v>
      </c>
      <c r="Y25" s="17">
        <f>7201.53-2064.36</f>
        <v>5137.17</v>
      </c>
      <c r="Z25" s="59">
        <f t="shared" si="0"/>
        <v>51186.829999999994</v>
      </c>
      <c r="AA25" s="83">
        <f t="shared" si="5"/>
        <v>379097.52999999997</v>
      </c>
    </row>
    <row r="26" spans="1:27" ht="13.5" customHeight="1" thickBot="1">
      <c r="A26" s="36" t="s">
        <v>55</v>
      </c>
      <c r="B26" s="32" t="s">
        <v>3</v>
      </c>
      <c r="C26" s="50"/>
      <c r="D26" s="51">
        <v>2718.66</v>
      </c>
      <c r="E26" s="75">
        <v>4264.02</v>
      </c>
      <c r="F26" s="51">
        <v>9082.52</v>
      </c>
      <c r="G26" s="51">
        <v>10588.44</v>
      </c>
      <c r="H26" s="51">
        <v>11724.89</v>
      </c>
      <c r="I26" s="51">
        <v>12052.62</v>
      </c>
      <c r="J26" s="51">
        <v>13434.88</v>
      </c>
      <c r="K26" s="51">
        <v>13410.09</v>
      </c>
      <c r="L26" s="51">
        <v>14190.19</v>
      </c>
      <c r="M26" s="51">
        <v>13948.63</v>
      </c>
      <c r="N26" s="11">
        <f>834.3+1.98+176.06</f>
        <v>1012.3399999999999</v>
      </c>
      <c r="O26" s="12">
        <f>1125.3+2.67+237.48</f>
        <v>1365.45</v>
      </c>
      <c r="P26" s="12">
        <f>1015.3+2.41+214.25</f>
        <v>1231.96</v>
      </c>
      <c r="Q26" s="12">
        <f>870.8+2.06+183.76</f>
        <v>1056.62</v>
      </c>
      <c r="R26" s="12">
        <f>1120.8+2.66+236.52</f>
        <v>1359.98</v>
      </c>
      <c r="S26" s="12">
        <f>965.3+2.29+203.68</f>
        <v>1171.27</v>
      </c>
      <c r="T26" s="12">
        <f>933.7+2.64+236.55</f>
        <v>1172.89</v>
      </c>
      <c r="U26" s="12">
        <f>1122.8+2.39+208.17</f>
        <v>1333.3600000000001</v>
      </c>
      <c r="V26" s="12">
        <f>1228.1+2.68+233.68</f>
        <v>1464.46</v>
      </c>
      <c r="W26" s="12">
        <f>1025.7+2.4+209.16</f>
        <v>1237.2600000000002</v>
      </c>
      <c r="X26" s="12">
        <f>1025.9+2.4+209.19</f>
        <v>1237.4900000000002</v>
      </c>
      <c r="Y26" s="19">
        <f>974.9+2.28+198.77</f>
        <v>1175.95</v>
      </c>
      <c r="Z26" s="59">
        <f t="shared" si="0"/>
        <v>14819.030000000002</v>
      </c>
      <c r="AA26" s="83">
        <f t="shared" si="5"/>
        <v>120233.97</v>
      </c>
    </row>
    <row r="27" spans="1:27" ht="13.5" customHeight="1" thickBot="1">
      <c r="A27" s="36"/>
      <c r="B27" s="43" t="s">
        <v>59</v>
      </c>
      <c r="C27" s="64"/>
      <c r="D27" s="65"/>
      <c r="E27" s="76"/>
      <c r="F27" s="65"/>
      <c r="G27" s="81"/>
      <c r="H27" s="80">
        <f>H8*5%</f>
        <v>3559.664</v>
      </c>
      <c r="I27" s="80">
        <f>I8*5%</f>
        <v>3557.0879999999997</v>
      </c>
      <c r="J27" s="78">
        <f>J8*5%</f>
        <v>3551.1540000000005</v>
      </c>
      <c r="K27" s="86">
        <f>K8*5%</f>
        <v>3548.8080000000004</v>
      </c>
      <c r="L27" s="86">
        <f>L8*5%</f>
        <v>3548.8080000000004</v>
      </c>
      <c r="M27" s="86">
        <f>(M8+M9)*5%</f>
        <v>3353.517</v>
      </c>
      <c r="N27" s="77">
        <f>(N8+N9)*5%</f>
        <v>279.55249999999995</v>
      </c>
      <c r="O27" s="77">
        <f aca="true" t="shared" si="6" ref="O27:Y27">(O8+O9)*5%</f>
        <v>279.55249999999995</v>
      </c>
      <c r="P27" s="77">
        <f t="shared" si="6"/>
        <v>279.55249999999995</v>
      </c>
      <c r="Q27" s="77">
        <f t="shared" si="6"/>
        <v>279.55249999999995</v>
      </c>
      <c r="R27" s="77">
        <f t="shared" si="6"/>
        <v>279.55249999999995</v>
      </c>
      <c r="S27" s="77">
        <f t="shared" si="6"/>
        <v>279.55249999999995</v>
      </c>
      <c r="T27" s="77">
        <f t="shared" si="6"/>
        <v>279.618</v>
      </c>
      <c r="U27" s="77">
        <f t="shared" si="6"/>
        <v>279.618</v>
      </c>
      <c r="V27" s="77">
        <f t="shared" si="6"/>
        <v>279.618</v>
      </c>
      <c r="W27" s="77">
        <f t="shared" si="6"/>
        <v>279.618</v>
      </c>
      <c r="X27" s="77">
        <f t="shared" si="6"/>
        <v>279.618</v>
      </c>
      <c r="Y27" s="77">
        <f t="shared" si="6"/>
        <v>279.618</v>
      </c>
      <c r="Z27" s="78">
        <f t="shared" si="0"/>
        <v>3355.0229999999997</v>
      </c>
      <c r="AA27" s="84"/>
    </row>
    <row r="28" spans="1:27" ht="13.5" customHeight="1" thickBot="1">
      <c r="A28" s="36" t="s">
        <v>37</v>
      </c>
      <c r="B28" s="63" t="s">
        <v>50</v>
      </c>
      <c r="C28" s="64"/>
      <c r="D28" s="65"/>
      <c r="E28" s="76"/>
      <c r="F28" s="65"/>
      <c r="G28" s="65"/>
      <c r="H28" s="65"/>
      <c r="I28" s="65"/>
      <c r="J28" s="65"/>
      <c r="K28" s="85">
        <f>SUM(K8+K9-K11)-K27</f>
        <v>-12294.417999999987</v>
      </c>
      <c r="L28" s="85">
        <f>SUM(L8+L9-L11)-L27</f>
        <v>-22613.868000000013</v>
      </c>
      <c r="M28" s="85">
        <f>SUM(M8+M9-M11)-M27</f>
        <v>-5727.797000000013</v>
      </c>
      <c r="N28" s="79">
        <f>SUM(N8+N9+N10-N11)-N27</f>
        <v>-163.7625000000009</v>
      </c>
      <c r="O28" s="79">
        <f aca="true" t="shared" si="7" ref="O28:Y28">SUM(O8+O9+O10-O11)-O27</f>
        <v>-5286.352500000003</v>
      </c>
      <c r="P28" s="79">
        <f t="shared" si="7"/>
        <v>-148.50250000000068</v>
      </c>
      <c r="Q28" s="79">
        <f t="shared" si="7"/>
        <v>166.64749999999896</v>
      </c>
      <c r="R28" s="79">
        <f t="shared" si="7"/>
        <v>-260.6324999999999</v>
      </c>
      <c r="S28" s="79">
        <f t="shared" si="7"/>
        <v>-40.662500000000534</v>
      </c>
      <c r="T28" s="79">
        <f t="shared" si="7"/>
        <v>-581.9879999999998</v>
      </c>
      <c r="U28" s="79">
        <f t="shared" si="7"/>
        <v>-1945.0280000000007</v>
      </c>
      <c r="V28" s="79">
        <f t="shared" si="7"/>
        <v>-1216.1780000000003</v>
      </c>
      <c r="W28" s="79">
        <f t="shared" si="7"/>
        <v>-111.71800000000036</v>
      </c>
      <c r="X28" s="79">
        <f t="shared" si="7"/>
        <v>-5420.528000000003</v>
      </c>
      <c r="Y28" s="79">
        <f t="shared" si="7"/>
        <v>-1488.788</v>
      </c>
      <c r="Z28" s="78">
        <f t="shared" si="0"/>
        <v>-16497.49300000001</v>
      </c>
      <c r="AA28" s="66"/>
    </row>
    <row r="29" spans="1:27" ht="24" customHeight="1" thickBot="1">
      <c r="A29" s="87" t="s">
        <v>38</v>
      </c>
      <c r="B29" s="94" t="s">
        <v>20</v>
      </c>
      <c r="C29" s="95">
        <v>5849.75</v>
      </c>
      <c r="D29" s="96">
        <v>10344.84</v>
      </c>
      <c r="E29" s="97">
        <f>SUM(E8-E11)</f>
        <v>4212.429999999993</v>
      </c>
      <c r="F29" s="90">
        <f>SUM(F8-F11)</f>
        <v>2647.6100000000006</v>
      </c>
      <c r="G29" s="90">
        <f>SUM(G8-G11)</f>
        <v>-50395.30999999998</v>
      </c>
      <c r="H29" s="98">
        <f>SUM(H8-H11)-H27</f>
        <v>-25005.143999999997</v>
      </c>
      <c r="I29" s="98">
        <f>SUM(I8-I11)-I27</f>
        <v>-13770.198</v>
      </c>
      <c r="J29" s="99">
        <f>SUM(J8-J11)-J27</f>
        <v>-8385.374000000016</v>
      </c>
      <c r="K29" s="98">
        <f>SUM(K8+K9-K11)-K27</f>
        <v>-12294.417999999987</v>
      </c>
      <c r="L29" s="98">
        <f>SUM(L8+L9-L11)-L27</f>
        <v>-22613.868000000013</v>
      </c>
      <c r="M29" s="98">
        <f>SUM(M8+M9-M11)-M27</f>
        <v>-5727.797000000013</v>
      </c>
      <c r="N29" s="100">
        <f>SUM(N8+N9+N10-N11)-N27</f>
        <v>-163.7625000000009</v>
      </c>
      <c r="O29" s="101">
        <f>SUM(O28+N29)</f>
        <v>-5450.115000000003</v>
      </c>
      <c r="P29" s="101">
        <f aca="true" t="shared" si="8" ref="P29:Y29">SUM(P28+O29)</f>
        <v>-5598.617500000004</v>
      </c>
      <c r="Q29" s="101">
        <f t="shared" si="8"/>
        <v>-5431.970000000005</v>
      </c>
      <c r="R29" s="101">
        <f t="shared" si="8"/>
        <v>-5692.6025000000045</v>
      </c>
      <c r="S29" s="101">
        <f t="shared" si="8"/>
        <v>-5733.265000000005</v>
      </c>
      <c r="T29" s="101">
        <f t="shared" si="8"/>
        <v>-6315.253000000004</v>
      </c>
      <c r="U29" s="101">
        <f t="shared" si="8"/>
        <v>-8260.281000000004</v>
      </c>
      <c r="V29" s="101">
        <f t="shared" si="8"/>
        <v>-9476.459000000004</v>
      </c>
      <c r="W29" s="101">
        <f t="shared" si="8"/>
        <v>-9588.177000000005</v>
      </c>
      <c r="X29" s="101">
        <f t="shared" si="8"/>
        <v>-15008.705000000009</v>
      </c>
      <c r="Y29" s="101">
        <f t="shared" si="8"/>
        <v>-16497.49300000001</v>
      </c>
      <c r="Z29" s="102"/>
      <c r="AA29" s="103"/>
    </row>
    <row r="30" spans="1:27" ht="22.5" customHeight="1" thickBot="1">
      <c r="A30" s="36" t="s">
        <v>39</v>
      </c>
      <c r="B30" s="43" t="s">
        <v>21</v>
      </c>
      <c r="C30" s="39">
        <v>5849.75</v>
      </c>
      <c r="D30" s="43">
        <v>16194.59</v>
      </c>
      <c r="E30" s="18">
        <f>SUM(E8-E11,D30)</f>
        <v>20407.019999999993</v>
      </c>
      <c r="F30" s="59">
        <f>SUM(F8-F11,E30)</f>
        <v>23054.629999999994</v>
      </c>
      <c r="G30" s="59">
        <f>SUM(G8-G11,F30)</f>
        <v>-27340.67999999999</v>
      </c>
      <c r="H30" s="80">
        <f>SUM(H29+G30)</f>
        <v>-52345.823999999986</v>
      </c>
      <c r="I30" s="80">
        <f>SUM(I29+H30)+0.05</f>
        <v>-66115.97199999998</v>
      </c>
      <c r="J30" s="80">
        <f>SUM(J29+I30)+0.05</f>
        <v>-74501.29599999999</v>
      </c>
      <c r="K30" s="80">
        <f>SUM(K29+J30)</f>
        <v>-86795.71399999998</v>
      </c>
      <c r="L30" s="80">
        <f>SUM(L29+K30)</f>
        <v>-109409.582</v>
      </c>
      <c r="M30" s="80">
        <f>SUM(M29+L30)</f>
        <v>-115137.37900000002</v>
      </c>
      <c r="N30" s="80">
        <f>SUM(N29+M30)</f>
        <v>-115301.14150000001</v>
      </c>
      <c r="O30" s="78">
        <f>SUM(O28+N30)</f>
        <v>-120587.49400000002</v>
      </c>
      <c r="P30" s="78">
        <f>SUM(P28+O30)</f>
        <v>-120735.99650000002</v>
      </c>
      <c r="Q30" s="78">
        <f aca="true" t="shared" si="9" ref="Q30:X30">SUM(Q28+P30)</f>
        <v>-120569.34900000003</v>
      </c>
      <c r="R30" s="78">
        <f t="shared" si="9"/>
        <v>-120829.98150000004</v>
      </c>
      <c r="S30" s="78">
        <f t="shared" si="9"/>
        <v>-120870.64400000004</v>
      </c>
      <c r="T30" s="78">
        <f t="shared" si="9"/>
        <v>-121452.63200000004</v>
      </c>
      <c r="U30" s="78">
        <f t="shared" si="9"/>
        <v>-123397.66000000005</v>
      </c>
      <c r="V30" s="78">
        <f t="shared" si="9"/>
        <v>-124613.83800000005</v>
      </c>
      <c r="W30" s="78">
        <f t="shared" si="9"/>
        <v>-124725.55600000004</v>
      </c>
      <c r="X30" s="78">
        <f t="shared" si="9"/>
        <v>-130146.08400000005</v>
      </c>
      <c r="Y30" s="78">
        <f>SUM(Y28+X30)</f>
        <v>-131634.87200000003</v>
      </c>
      <c r="Z30" s="59"/>
      <c r="AA30" s="53"/>
    </row>
    <row r="31" spans="1:27" ht="12" customHeight="1" hidden="1" thickBot="1">
      <c r="A31" s="36" t="s">
        <v>40</v>
      </c>
      <c r="B31" s="43" t="s">
        <v>6</v>
      </c>
      <c r="C31" s="40"/>
      <c r="D31" s="44"/>
      <c r="E31" s="44"/>
      <c r="F31" s="40"/>
      <c r="G31" s="40"/>
      <c r="H31" s="40"/>
      <c r="I31" s="40"/>
      <c r="J31" s="40"/>
      <c r="K31" s="40"/>
      <c r="L31" s="40"/>
      <c r="M31" s="40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"/>
      <c r="Z31" s="60"/>
      <c r="AA31" s="54"/>
    </row>
    <row r="32" spans="1:27" ht="15" customHeight="1" hidden="1" thickBot="1">
      <c r="A32" s="37" t="s">
        <v>41</v>
      </c>
      <c r="B32" s="33" t="s">
        <v>22</v>
      </c>
      <c r="C32" s="40"/>
      <c r="D32" s="44"/>
      <c r="E32" s="44"/>
      <c r="F32" s="40"/>
      <c r="G32" s="40"/>
      <c r="H32" s="40"/>
      <c r="I32" s="40"/>
      <c r="J32" s="40"/>
      <c r="K32" s="40"/>
      <c r="L32" s="40"/>
      <c r="M32" s="40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0"/>
      <c r="Z32" s="59"/>
      <c r="AA32" s="55"/>
    </row>
    <row r="33" spans="1:27" ht="24" customHeight="1" hidden="1" thickBot="1">
      <c r="A33" s="37" t="s">
        <v>44</v>
      </c>
      <c r="B33" s="34" t="s">
        <v>45</v>
      </c>
      <c r="C33" s="41"/>
      <c r="D33" s="45"/>
      <c r="E33" s="45"/>
      <c r="F33" s="41"/>
      <c r="G33" s="41"/>
      <c r="H33" s="41"/>
      <c r="I33" s="41"/>
      <c r="J33" s="41"/>
      <c r="K33" s="41"/>
      <c r="L33" s="41"/>
      <c r="M33" s="4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>
        <f>SUM(Y29-Y31)</f>
        <v>-16497.49300000001</v>
      </c>
      <c r="Z33" s="61"/>
      <c r="AA33" s="56"/>
    </row>
    <row r="34" spans="1:27" ht="23.25" customHeight="1" hidden="1" thickBot="1">
      <c r="A34" s="62" t="s">
        <v>49</v>
      </c>
      <c r="B34" s="34" t="s">
        <v>23</v>
      </c>
      <c r="C34" s="41"/>
      <c r="D34" s="45"/>
      <c r="E34" s="67"/>
      <c r="F34" s="41"/>
      <c r="G34" s="41"/>
      <c r="H34" s="41"/>
      <c r="I34" s="41"/>
      <c r="J34" s="41"/>
      <c r="K34" s="41"/>
      <c r="L34" s="41"/>
      <c r="M34" s="4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>
        <f>SUM(Y30-Y31)</f>
        <v>-131634.87200000003</v>
      </c>
      <c r="Z34" s="61"/>
      <c r="AA34" s="56"/>
    </row>
    <row r="35" spans="3:27" ht="24" customHeight="1" hidden="1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</row>
    <row r="36" ht="12.75" hidden="1"/>
    <row r="37" ht="0.75" customHeight="1" hidden="1"/>
    <row r="38" ht="12.75" hidden="1"/>
    <row r="39" ht="12.75" hidden="1"/>
    <row r="40" ht="12.75">
      <c r="B40" t="s">
        <v>64</v>
      </c>
    </row>
    <row r="44" ht="12.75" customHeight="1"/>
    <row r="45" ht="12.75" customHeight="1"/>
  </sheetData>
  <sheetProtection/>
  <mergeCells count="5">
    <mergeCell ref="B4:AA4"/>
    <mergeCell ref="B5:AA5"/>
    <mergeCell ref="B3:AA3"/>
    <mergeCell ref="B1:P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2021-02-05T06:26:28Z</cp:lastPrinted>
  <dcterms:created xsi:type="dcterms:W3CDTF">2011-06-16T11:06:26Z</dcterms:created>
  <dcterms:modified xsi:type="dcterms:W3CDTF">2021-02-05T06:26:59Z</dcterms:modified>
  <cp:category/>
  <cp:version/>
  <cp:contentType/>
  <cp:contentStatus/>
</cp:coreProperties>
</file>