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<sst xmlns="http://schemas.openxmlformats.org/spreadsheetml/2006/main" count="82" uniqueCount="82">
  <si>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</si>
  <si>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</si>
  <si>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</si>
  <si>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</si>
  <si>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</si>
  <si>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</si>
  <si>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</si>
  <si>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</si>
  <si>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</si>
  <si>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</si>
  <si>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</si>
  <si>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</si>
  <si>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</si>
  <si>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</si>
  <si>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</si>
  <si>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</si>
  <si>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</si>
  <si>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</si>
  <si>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</si>
  <si>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</si>
  <si>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</si>
  <si>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</si>
  <si>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</si>
  <si>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</si>
  <si>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</si>
  <si>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</si>
  <si>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</si>
  <si>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</si>
  <si>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</si>
  <si>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</si>
  <si>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</si>
  <si>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</si>
  <si>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</si>
  <si>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</si>
  <si>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</si>
  <si>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</si>
  <si>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</si>
  <si>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</si>
  <si>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</si>
  <si>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</si>
  <si>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</si>
  <si>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</si>
  <si>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</si>
  <si>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</si>
  <si>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</si>
  <si>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</si>
  <si>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</si>
  <si>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Школьная д.10</t>
  </si>
  <si>
    <t>Итого за 2011 г</t>
  </si>
  <si>
    <t>Проверка дымовых каналов</t>
  </si>
  <si>
    <t>11</t>
  </si>
  <si>
    <t>Результат за месяц</t>
  </si>
  <si>
    <t>Благоустройство территории</t>
  </si>
  <si>
    <t>Итого за 2012 г</t>
  </si>
  <si>
    <t>4.12</t>
  </si>
  <si>
    <t>4.13</t>
  </si>
  <si>
    <t xml:space="preserve">Материалы </t>
  </si>
  <si>
    <t>4.14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</si>
  <si>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</si>
  <si>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</si>
  <si>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</si>
  <si>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</si>
  <si>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</si>
  <si>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</si>
  <si>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</si>
  <si>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</si>
  <si>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</si>
  <si>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</si>
  <si>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</si>
  <si>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</si>
  <si>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</si>
  <si>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</si>
  <si>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</si>
  <si>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Транспортные(ГСМ,зап.части,амортизация,страхован)</t>
  </si>
  <si>
    <t>Итого за 2018 г</t>
  </si>
  <si>
    <t>Итого за 2019 г</t>
  </si>
  <si>
    <t>Дом по ул.Школьная д.10 вступил в ООО "Наш дом" с ноября 2009 года                    тариф 9,2 руб с января 2019 года тариф 8,6 руб.</t>
  </si>
  <si>
    <t>ООО "НД УНЕЧА"</t>
  </si>
  <si>
    <t>Итого за 2020 г</t>
  </si>
  <si>
    <t>Всего за 2009-2020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</si>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</sst>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43" xfId="0" applyFont="1" applyBorder="1" applyAlignment="1">
      <alignment/>
    </xf>
    <xf numFmtId="0" fontId="25" fillId="0" borderId="32" xfId="0" applyFont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4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27" fillId="2" borderId="26" xfId="0" applyFont="1" applyFill="1" applyBorder="1" applyAlignment="1">
      <alignment wrapText="1"/>
    </xf>
    <xf numFmtId="2" fontId="27" fillId="0" borderId="42" xfId="0" applyNumberFormat="1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27" fillId="2" borderId="36" xfId="0" applyFont="1" applyFill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19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7" fillId="0" borderId="49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4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1" xfId="0" applyFont="1" applyBorder="1" applyAlignment="1">
      <alignment/>
    </xf>
    <xf numFmtId="0" fontId="28" fillId="0" borderId="52" xfId="0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52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2" fontId="28" fillId="0" borderId="54" xfId="0" applyNumberFormat="1" applyFont="1" applyBorder="1" applyAlignment="1">
      <alignment/>
    </xf>
    <xf numFmtId="0" fontId="22" fillId="0" borderId="44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B7">
      <selection activeCell="B13" sqref="B13"/>
    </sheetView>
  </sheetViews>
  <sheetFormatPr defaultColWidth="9.00390625" defaultRowHeight="12.75"/>
  <cols>
    <col min="1" max="1" width="3.00390625" style="26" hidden="1" customWidth="1"/>
    <col min="2" max="2" width="19.25390625" style="0" customWidth="1"/>
    <col min="3" max="3" width="7.125" style="0" hidden="1" customWidth="1"/>
    <col min="4" max="4" width="7.625" style="0" hidden="1" customWidth="1"/>
    <col min="5" max="5" width="7.375" style="0" hidden="1" customWidth="1"/>
    <col min="6" max="6" width="10.125" style="0" hidden="1" customWidth="1"/>
    <col min="7" max="7" width="9.875" style="0" hidden="1" customWidth="1"/>
    <col min="8" max="8" width="9.625" style="0" hidden="1" customWidth="1"/>
    <col min="9" max="9" width="9.75390625" style="0" hidden="1" customWidth="1"/>
    <col min="10" max="10" width="10.00390625" style="0" hidden="1" customWidth="1"/>
    <col min="11" max="11" width="9.875" style="0" hidden="1" customWidth="1"/>
    <col min="12" max="12" width="8.625" style="0" hidden="1" customWidth="1"/>
    <col min="13" max="13" width="9.125" style="0" hidden="1" customWidth="1"/>
    <col min="14" max="14" width="8.875" style="0" customWidth="1"/>
    <col min="15" max="15" width="8.75390625" style="0" customWidth="1"/>
    <col min="16" max="16" width="9.25390625" style="0" customWidth="1"/>
    <col min="17" max="17" width="8.875" style="0" customWidth="1"/>
    <col min="18" max="18" width="9.00390625" style="0" customWidth="1"/>
    <col min="19" max="19" width="9.625" style="0" customWidth="1"/>
    <col min="20" max="20" width="8.75390625" style="0" customWidth="1"/>
    <col min="21" max="21" width="8.875" style="0" customWidth="1"/>
    <col min="22" max="22" width="8.625" style="0" customWidth="1"/>
    <col min="23" max="23" width="9.00390625" style="0" customWidth="1"/>
    <col min="24" max="24" width="8.75390625" style="0" customWidth="1"/>
    <col min="25" max="25" width="8.625" style="0" customWidth="1"/>
    <col min="27" max="27" width="10.875" style="0" customWidth="1"/>
  </cols>
  <sheetData>
    <row r="1" spans="2:32" ht="12.75" customHeight="1">
      <c r="B1" s="113" t="s">
        <v>77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13" t="s">
        <v>76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114"/>
      <c r="Z2" s="114"/>
      <c r="AA2" s="114"/>
      <c r="AB2" s="4"/>
      <c r="AC2" s="4"/>
      <c r="AD2" s="4"/>
      <c r="AE2" s="4"/>
      <c r="AF2" s="4"/>
    </row>
    <row r="3" spans="2:32" ht="12.7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3"/>
      <c r="AC3" s="3"/>
      <c r="AD3" s="3"/>
      <c r="AE3" s="3"/>
      <c r="AF3" s="3"/>
    </row>
    <row r="4" spans="2:32" ht="12.75" customHeight="1"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2"/>
      <c r="AC4" s="2"/>
      <c r="AD4" s="2"/>
      <c r="AE4" s="2"/>
      <c r="AF4" s="2"/>
    </row>
    <row r="5" spans="2:32" ht="13.5" customHeight="1">
      <c r="B5" s="111" t="s">
        <v>47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2"/>
      <c r="AC5" s="2"/>
      <c r="AD5" s="2"/>
      <c r="AE5" s="2"/>
      <c r="AF5" s="2"/>
    </row>
    <row r="6" spans="2:32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</row>
    <row r="7" spans="1:32" ht="24.75" customHeight="1" thickBot="1">
      <c r="A7" s="35" t="s">
        <v>25</v>
      </c>
      <c r="B7" s="27" t="s">
        <v>5</v>
      </c>
      <c r="C7" s="38" t="s">
        <v>43</v>
      </c>
      <c r="D7" s="42" t="s">
        <v>44</v>
      </c>
      <c r="E7" s="77" t="s">
        <v>48</v>
      </c>
      <c r="F7" s="58" t="s">
        <v>53</v>
      </c>
      <c r="G7" s="58" t="s">
        <v>58</v>
      </c>
      <c r="H7" s="77" t="s">
        <v>59</v>
      </c>
      <c r="I7" s="58" t="s">
        <v>61</v>
      </c>
      <c r="J7" s="58" t="s">
        <v>66</v>
      </c>
      <c r="K7" s="58" t="s">
        <v>67</v>
      </c>
      <c r="L7" s="58" t="s">
        <v>74</v>
      </c>
      <c r="M7" s="58" t="s">
        <v>75</v>
      </c>
      <c r="N7" s="6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18</v>
      </c>
      <c r="X7" s="5" t="s">
        <v>20</v>
      </c>
      <c r="Y7" s="15" t="s">
        <v>19</v>
      </c>
      <c r="Z7" s="58" t="s">
        <v>78</v>
      </c>
      <c r="AA7" s="52" t="s">
        <v>79</v>
      </c>
      <c r="AB7" s="1"/>
      <c r="AC7" s="1"/>
      <c r="AD7" s="1"/>
      <c r="AE7" s="1"/>
      <c r="AF7" s="1"/>
    </row>
    <row r="8" spans="1:27" ht="13.5" thickBot="1">
      <c r="A8" s="36" t="s">
        <v>26</v>
      </c>
      <c r="B8" s="28" t="s">
        <v>1</v>
      </c>
      <c r="C8" s="69">
        <v>23088.32</v>
      </c>
      <c r="D8" s="74">
        <v>138046.92</v>
      </c>
      <c r="E8" s="78">
        <v>140806.92</v>
      </c>
      <c r="F8" s="75">
        <v>142316.64</v>
      </c>
      <c r="G8" s="74">
        <v>142316.64</v>
      </c>
      <c r="H8" s="78">
        <v>142382.88</v>
      </c>
      <c r="I8" s="74">
        <v>142397.6</v>
      </c>
      <c r="J8" s="74">
        <v>142299.16</v>
      </c>
      <c r="K8" s="74">
        <v>137516.08</v>
      </c>
      <c r="L8" s="74">
        <v>137508.72</v>
      </c>
      <c r="M8" s="74">
        <v>125795.64</v>
      </c>
      <c r="N8" s="7">
        <v>10428.36</v>
      </c>
      <c r="O8" s="7">
        <v>10428.36</v>
      </c>
      <c r="P8" s="7">
        <v>10428.36</v>
      </c>
      <c r="Q8" s="7">
        <v>10428.36</v>
      </c>
      <c r="R8" s="7">
        <v>10428.36</v>
      </c>
      <c r="S8" s="7">
        <v>10428.36</v>
      </c>
      <c r="T8" s="7">
        <v>10428.36</v>
      </c>
      <c r="U8" s="7">
        <v>10428.36</v>
      </c>
      <c r="V8" s="7">
        <v>10428.36</v>
      </c>
      <c r="W8" s="7">
        <v>10428.36</v>
      </c>
      <c r="X8" s="7">
        <v>10428.36</v>
      </c>
      <c r="Y8" s="7">
        <v>10428.36</v>
      </c>
      <c r="Z8" s="62">
        <f>SUM(N8:Y8)</f>
        <v>125140.32</v>
      </c>
      <c r="AA8" s="63">
        <f>SUM(C8:Y8)</f>
        <v>1539615.8400000012</v>
      </c>
    </row>
    <row r="9" spans="1:27" ht="13.5" thickBot="1">
      <c r="A9" s="36"/>
      <c r="B9" s="28" t="s">
        <v>68</v>
      </c>
      <c r="C9" s="69"/>
      <c r="D9" s="75"/>
      <c r="E9" s="78"/>
      <c r="F9" s="75"/>
      <c r="G9" s="75"/>
      <c r="H9" s="78"/>
      <c r="I9" s="75"/>
      <c r="J9" s="75"/>
      <c r="K9" s="75">
        <v>10378.51</v>
      </c>
      <c r="L9" s="75">
        <v>7609</v>
      </c>
      <c r="M9" s="75">
        <v>1419.8</v>
      </c>
      <c r="N9" s="7">
        <f aca="true" t="shared" si="0" ref="N9:S9">61.68+59.72</f>
        <v>121.4</v>
      </c>
      <c r="O9" s="7">
        <f t="shared" si="0"/>
        <v>121.4</v>
      </c>
      <c r="P9" s="7">
        <f t="shared" si="0"/>
        <v>121.4</v>
      </c>
      <c r="Q9" s="7">
        <f t="shared" si="0"/>
        <v>121.4</v>
      </c>
      <c r="R9" s="7">
        <f t="shared" si="0"/>
        <v>121.4</v>
      </c>
      <c r="S9" s="7">
        <f t="shared" si="0"/>
        <v>121.4</v>
      </c>
      <c r="T9" s="8">
        <f aca="true" t="shared" si="1" ref="T9:Y9">64.21+59.87</f>
        <v>124.07999999999998</v>
      </c>
      <c r="U9" s="8">
        <f t="shared" si="1"/>
        <v>124.07999999999998</v>
      </c>
      <c r="V9" s="8">
        <f t="shared" si="1"/>
        <v>124.07999999999998</v>
      </c>
      <c r="W9" s="8">
        <f t="shared" si="1"/>
        <v>124.07999999999998</v>
      </c>
      <c r="X9" s="8">
        <f t="shared" si="1"/>
        <v>124.07999999999998</v>
      </c>
      <c r="Y9" s="8">
        <f t="shared" si="1"/>
        <v>124.07999999999998</v>
      </c>
      <c r="Z9" s="62">
        <f>SUM(N9:Y9)</f>
        <v>1472.8799999999997</v>
      </c>
      <c r="AA9" s="63">
        <f>SUM(C9:Y9)</f>
        <v>20880.19000000002</v>
      </c>
    </row>
    <row r="10" spans="1:27" ht="12.75" customHeight="1" thickBot="1">
      <c r="A10" s="36"/>
      <c r="B10" s="28" t="s">
        <v>80</v>
      </c>
      <c r="C10" s="69"/>
      <c r="D10" s="75"/>
      <c r="E10" s="78"/>
      <c r="F10" s="75"/>
      <c r="G10" s="75"/>
      <c r="H10" s="78"/>
      <c r="I10" s="75"/>
      <c r="J10" s="75"/>
      <c r="K10" s="75">
        <v>4984.48</v>
      </c>
      <c r="L10" s="75">
        <v>5121.18</v>
      </c>
      <c r="M10" s="75">
        <v>7748.87</v>
      </c>
      <c r="N10" s="7">
        <f>667.89+400</f>
        <v>1067.8899999999999</v>
      </c>
      <c r="O10" s="7">
        <f aca="true" t="shared" si="2" ref="O10:Y10">667.89+400</f>
        <v>1067.8899999999999</v>
      </c>
      <c r="P10" s="7">
        <f t="shared" si="2"/>
        <v>1067.8899999999999</v>
      </c>
      <c r="Q10" s="7">
        <f t="shared" si="2"/>
        <v>1067.8899999999999</v>
      </c>
      <c r="R10" s="7">
        <f t="shared" si="2"/>
        <v>1067.8899999999999</v>
      </c>
      <c r="S10" s="7">
        <f t="shared" si="2"/>
        <v>1067.8899999999999</v>
      </c>
      <c r="T10" s="7">
        <f t="shared" si="2"/>
        <v>1067.8899999999999</v>
      </c>
      <c r="U10" s="7">
        <f t="shared" si="2"/>
        <v>1067.8899999999999</v>
      </c>
      <c r="V10" s="7">
        <f t="shared" si="2"/>
        <v>1067.8899999999999</v>
      </c>
      <c r="W10" s="7">
        <f t="shared" si="2"/>
        <v>1067.8899999999999</v>
      </c>
      <c r="X10" s="7">
        <f t="shared" si="2"/>
        <v>1067.8899999999999</v>
      </c>
      <c r="Y10" s="7">
        <f t="shared" si="2"/>
        <v>1067.8899999999999</v>
      </c>
      <c r="Z10" s="62">
        <f>SUM(N10:Y10)</f>
        <v>12814.679999999995</v>
      </c>
      <c r="AA10" s="63">
        <f>SUM(C10:Y10)</f>
        <v>30669.209999999992</v>
      </c>
    </row>
    <row r="11" spans="1:27" s="99" customFormat="1" ht="13.5" thickBot="1">
      <c r="A11" s="92" t="s">
        <v>27</v>
      </c>
      <c r="B11" s="93" t="s">
        <v>2</v>
      </c>
      <c r="C11" s="94">
        <v>13676.71</v>
      </c>
      <c r="D11" s="95">
        <f aca="true" t="shared" si="3" ref="D11:N11">SUM(D12:D26)</f>
        <v>114068.91</v>
      </c>
      <c r="E11" s="94">
        <f t="shared" si="3"/>
        <v>146642.13</v>
      </c>
      <c r="F11" s="95">
        <f t="shared" si="3"/>
        <v>146811.16</v>
      </c>
      <c r="G11" s="95">
        <f t="shared" si="3"/>
        <v>148915.15</v>
      </c>
      <c r="H11" s="96">
        <f t="shared" si="3"/>
        <v>156423.97999999998</v>
      </c>
      <c r="I11" s="95">
        <f>SUM(I12:I26)</f>
        <v>168858.54</v>
      </c>
      <c r="J11" s="95">
        <f>SUM(J12:J26)</f>
        <v>161118.52000000002</v>
      </c>
      <c r="K11" s="95">
        <f>SUM(K12:K26)</f>
        <v>171256.97000000003</v>
      </c>
      <c r="L11" s="95">
        <f t="shared" si="3"/>
        <v>172872.63</v>
      </c>
      <c r="M11" s="95">
        <f t="shared" si="3"/>
        <v>145291.57</v>
      </c>
      <c r="N11" s="97">
        <f t="shared" si="3"/>
        <v>11392.6</v>
      </c>
      <c r="O11" s="97">
        <f aca="true" t="shared" si="4" ref="O11:Y11">SUM(O12:O26)</f>
        <v>10396.59</v>
      </c>
      <c r="P11" s="97">
        <f t="shared" si="4"/>
        <v>10985.219999999998</v>
      </c>
      <c r="Q11" s="97">
        <f t="shared" si="4"/>
        <v>10210.11</v>
      </c>
      <c r="R11" s="97">
        <f t="shared" si="4"/>
        <v>11069.48</v>
      </c>
      <c r="S11" s="97">
        <f t="shared" si="4"/>
        <v>10880.32</v>
      </c>
      <c r="T11" s="97">
        <f t="shared" si="4"/>
        <v>12379.7</v>
      </c>
      <c r="U11" s="97">
        <f t="shared" si="4"/>
        <v>12621.93</v>
      </c>
      <c r="V11" s="97">
        <f t="shared" si="4"/>
        <v>12824.46</v>
      </c>
      <c r="W11" s="97">
        <f t="shared" si="4"/>
        <v>12935.09</v>
      </c>
      <c r="X11" s="97">
        <f t="shared" si="4"/>
        <v>13064.16</v>
      </c>
      <c r="Y11" s="94">
        <f t="shared" si="4"/>
        <v>18472.240000000005</v>
      </c>
      <c r="Z11" s="95">
        <f>SUM(N11:Y11)</f>
        <v>147231.90000000002</v>
      </c>
      <c r="AA11" s="98">
        <f aca="true" t="shared" si="5" ref="AA11:AA17">SUM(C11:Y11)</f>
        <v>1693168.1700000004</v>
      </c>
    </row>
    <row r="12" spans="1:27" ht="13.5" thickBot="1">
      <c r="A12" s="36" t="s">
        <v>28</v>
      </c>
      <c r="B12" s="30" t="s">
        <v>81</v>
      </c>
      <c r="C12" s="46"/>
      <c r="D12" s="47">
        <v>26601.05</v>
      </c>
      <c r="E12" s="79">
        <v>31258.12</v>
      </c>
      <c r="F12" s="47">
        <v>31814.26</v>
      </c>
      <c r="G12" s="47">
        <v>37649.3</v>
      </c>
      <c r="H12" s="79">
        <v>42089.69</v>
      </c>
      <c r="I12" s="47">
        <v>37980.73</v>
      </c>
      <c r="J12" s="47">
        <v>38209.69</v>
      </c>
      <c r="K12" s="47">
        <v>37552.14</v>
      </c>
      <c r="L12" s="47">
        <v>37827.19</v>
      </c>
      <c r="M12" s="47">
        <v>381.42</v>
      </c>
      <c r="N12" s="7"/>
      <c r="O12" s="8">
        <v>24.31</v>
      </c>
      <c r="P12" s="8">
        <v>28.27</v>
      </c>
      <c r="Q12" s="8">
        <v>31.7</v>
      </c>
      <c r="R12" s="8">
        <v>50.76</v>
      </c>
      <c r="S12" s="8">
        <v>36.73</v>
      </c>
      <c r="T12" s="8">
        <v>58.24</v>
      </c>
      <c r="U12" s="8">
        <v>60.3</v>
      </c>
      <c r="V12" s="8">
        <v>143.18</v>
      </c>
      <c r="W12" s="8">
        <v>61.38</v>
      </c>
      <c r="X12" s="8">
        <v>4.57</v>
      </c>
      <c r="Y12" s="16">
        <v>5.97</v>
      </c>
      <c r="Z12" s="59">
        <f>SUM(N12:Y12)</f>
        <v>505.41</v>
      </c>
      <c r="AA12" s="53">
        <f t="shared" si="5"/>
        <v>321868.99999999994</v>
      </c>
    </row>
    <row r="13" spans="1:27" ht="15" customHeight="1" thickBot="1">
      <c r="A13" s="36" t="s">
        <v>29</v>
      </c>
      <c r="B13" s="31" t="s">
        <v>62</v>
      </c>
      <c r="C13" s="48"/>
      <c r="D13" s="49">
        <v>34341.39</v>
      </c>
      <c r="E13" s="80">
        <v>12553.42</v>
      </c>
      <c r="F13" s="49">
        <f>1670.29+5105</f>
        <v>6775.29</v>
      </c>
      <c r="G13" s="49">
        <f>2047.45+2325</f>
        <v>4372.45</v>
      </c>
      <c r="H13" s="80">
        <v>1065.8</v>
      </c>
      <c r="I13" s="49">
        <v>4022.34</v>
      </c>
      <c r="J13" s="49">
        <v>99.77</v>
      </c>
      <c r="K13" s="49">
        <v>2363.08</v>
      </c>
      <c r="L13" s="49">
        <v>1623.8</v>
      </c>
      <c r="M13" s="49">
        <v>14128</v>
      </c>
      <c r="N13" s="9"/>
      <c r="O13" s="10"/>
      <c r="P13" s="10"/>
      <c r="Q13" s="10"/>
      <c r="R13" s="10"/>
      <c r="S13" s="10"/>
      <c r="T13" s="10"/>
      <c r="U13" s="10">
        <v>1200</v>
      </c>
      <c r="V13" s="10"/>
      <c r="W13" s="10"/>
      <c r="X13" s="10"/>
      <c r="Y13" s="17"/>
      <c r="Z13" s="59">
        <f aca="true" t="shared" si="6" ref="Z13:Z28">SUM(N13:Y13)</f>
        <v>1200</v>
      </c>
      <c r="AA13" s="53">
        <f t="shared" si="5"/>
        <v>82545.34</v>
      </c>
    </row>
    <row r="14" spans="1:27" ht="21.75" customHeight="1" thickBot="1">
      <c r="A14" s="36" t="s">
        <v>30</v>
      </c>
      <c r="B14" s="29" t="s">
        <v>4</v>
      </c>
      <c r="C14" s="48"/>
      <c r="D14" s="49">
        <v>0</v>
      </c>
      <c r="E14" s="80">
        <v>3746.94</v>
      </c>
      <c r="F14" s="49">
        <v>0</v>
      </c>
      <c r="G14" s="49">
        <v>0</v>
      </c>
      <c r="H14" s="80">
        <v>5653.1</v>
      </c>
      <c r="I14" s="49">
        <v>0</v>
      </c>
      <c r="J14" s="49">
        <v>0</v>
      </c>
      <c r="K14" s="49">
        <v>6133.9</v>
      </c>
      <c r="L14" s="49">
        <v>3982.67</v>
      </c>
      <c r="M14" s="49">
        <v>4718.5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>
        <v>4927.5</v>
      </c>
      <c r="Z14" s="59">
        <f t="shared" si="6"/>
        <v>4927.5</v>
      </c>
      <c r="AA14" s="53">
        <f t="shared" si="5"/>
        <v>29162.61</v>
      </c>
    </row>
    <row r="15" spans="1:27" ht="21.75" customHeight="1" thickBot="1">
      <c r="A15" s="36" t="s">
        <v>31</v>
      </c>
      <c r="B15" s="29" t="s">
        <v>49</v>
      </c>
      <c r="C15" s="48">
        <v>0</v>
      </c>
      <c r="D15" s="49">
        <v>0</v>
      </c>
      <c r="E15" s="80">
        <v>1562.39</v>
      </c>
      <c r="F15" s="49">
        <v>0</v>
      </c>
      <c r="G15" s="49">
        <v>0</v>
      </c>
      <c r="H15" s="80"/>
      <c r="I15" s="49">
        <v>1300</v>
      </c>
      <c r="J15" s="49">
        <v>0</v>
      </c>
      <c r="K15" s="49">
        <v>2400</v>
      </c>
      <c r="L15" s="49">
        <v>2200</v>
      </c>
      <c r="M15" s="49">
        <v>0</v>
      </c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59">
        <f t="shared" si="6"/>
        <v>0</v>
      </c>
      <c r="AA15" s="53">
        <f t="shared" si="5"/>
        <v>7462.39</v>
      </c>
    </row>
    <row r="16" spans="1:27" ht="16.5" customHeight="1" thickBot="1">
      <c r="A16" s="36" t="s">
        <v>32</v>
      </c>
      <c r="B16" s="31" t="s">
        <v>56</v>
      </c>
      <c r="C16" s="48"/>
      <c r="D16" s="49">
        <v>5552.33</v>
      </c>
      <c r="E16" s="80">
        <v>14036.43</v>
      </c>
      <c r="F16" s="49">
        <v>7100.21</v>
      </c>
      <c r="G16" s="49">
        <v>3254.53</v>
      </c>
      <c r="H16" s="80">
        <v>2944.21</v>
      </c>
      <c r="I16" s="49">
        <v>3762.77</v>
      </c>
      <c r="J16" s="49">
        <v>12580.27</v>
      </c>
      <c r="K16" s="49">
        <v>3746.19</v>
      </c>
      <c r="L16" s="49">
        <v>2939.6</v>
      </c>
      <c r="M16" s="49">
        <v>1106.27</v>
      </c>
      <c r="N16" s="9">
        <v>75</v>
      </c>
      <c r="O16" s="10">
        <v>60</v>
      </c>
      <c r="P16" s="10">
        <v>60</v>
      </c>
      <c r="Q16" s="10"/>
      <c r="R16" s="10"/>
      <c r="S16" s="10">
        <v>90</v>
      </c>
      <c r="T16" s="10"/>
      <c r="U16" s="10">
        <v>401</v>
      </c>
      <c r="V16" s="10">
        <v>273.75</v>
      </c>
      <c r="W16" s="10">
        <v>90</v>
      </c>
      <c r="X16" s="10">
        <v>45</v>
      </c>
      <c r="Y16" s="17">
        <v>48</v>
      </c>
      <c r="Z16" s="59">
        <f t="shared" si="6"/>
        <v>1142.75</v>
      </c>
      <c r="AA16" s="53">
        <f t="shared" si="5"/>
        <v>58165.56</v>
      </c>
    </row>
    <row r="17" spans="1:27" ht="23.25" customHeight="1" thickBot="1">
      <c r="A17" s="36" t="s">
        <v>33</v>
      </c>
      <c r="B17" s="31" t="s">
        <v>52</v>
      </c>
      <c r="C17" s="48">
        <v>0</v>
      </c>
      <c r="D17" s="49">
        <v>0</v>
      </c>
      <c r="E17" s="80">
        <v>0</v>
      </c>
      <c r="F17" s="49">
        <v>256</v>
      </c>
      <c r="G17" s="49">
        <v>0</v>
      </c>
      <c r="H17" s="80">
        <v>1277.06</v>
      </c>
      <c r="I17" s="49">
        <v>8750</v>
      </c>
      <c r="J17" s="49">
        <v>186</v>
      </c>
      <c r="K17" s="49">
        <v>95.1</v>
      </c>
      <c r="L17" s="49">
        <v>92</v>
      </c>
      <c r="M17" s="49">
        <v>177.37</v>
      </c>
      <c r="N17" s="9">
        <v>80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59">
        <f t="shared" si="6"/>
        <v>80</v>
      </c>
      <c r="AA17" s="53">
        <f t="shared" si="5"/>
        <v>10913.53</v>
      </c>
    </row>
    <row r="18" spans="1:27" ht="13.5" customHeight="1" thickBot="1">
      <c r="A18" s="36" t="s">
        <v>34</v>
      </c>
      <c r="B18" s="31" t="s">
        <v>69</v>
      </c>
      <c r="C18" s="48"/>
      <c r="D18" s="49">
        <v>7992.62</v>
      </c>
      <c r="E18" s="80">
        <v>8780.79</v>
      </c>
      <c r="F18" s="49">
        <v>4972.61</v>
      </c>
      <c r="G18" s="49">
        <v>0</v>
      </c>
      <c r="H18" s="80"/>
      <c r="I18" s="49">
        <v>0</v>
      </c>
      <c r="J18" s="49">
        <v>0</v>
      </c>
      <c r="K18" s="49">
        <v>9227.16</v>
      </c>
      <c r="L18" s="49">
        <v>6207.97</v>
      </c>
      <c r="M18" s="49">
        <v>0</v>
      </c>
      <c r="N18" s="9"/>
      <c r="O18" s="9"/>
      <c r="P18" s="9"/>
      <c r="Q18" s="9"/>
      <c r="R18" s="9"/>
      <c r="S18" s="9"/>
      <c r="T18" s="10"/>
      <c r="U18" s="10"/>
      <c r="V18" s="10"/>
      <c r="W18" s="10"/>
      <c r="X18" s="10"/>
      <c r="Y18" s="10"/>
      <c r="Z18" s="59">
        <f t="shared" si="6"/>
        <v>0</v>
      </c>
      <c r="AA18" s="53">
        <f aca="true" t="shared" si="7" ref="AA18:AA26">SUM(C18:Y18)</f>
        <v>37181.15</v>
      </c>
    </row>
    <row r="19" spans="1:27" ht="13.5" customHeight="1" thickBot="1">
      <c r="A19" s="36"/>
      <c r="B19" s="31" t="s">
        <v>70</v>
      </c>
      <c r="C19" s="48"/>
      <c r="D19" s="49"/>
      <c r="E19" s="80"/>
      <c r="F19" s="49"/>
      <c r="G19" s="49"/>
      <c r="H19" s="80"/>
      <c r="I19" s="49"/>
      <c r="J19" s="49"/>
      <c r="K19" s="49">
        <v>609.73</v>
      </c>
      <c r="L19" s="49">
        <v>768.78</v>
      </c>
      <c r="M19" s="49">
        <v>778.2</v>
      </c>
      <c r="N19" s="9">
        <v>65.44</v>
      </c>
      <c r="O19" s="9">
        <v>65.44</v>
      </c>
      <c r="P19" s="9">
        <v>65.44</v>
      </c>
      <c r="Q19" s="9">
        <v>65.44</v>
      </c>
      <c r="R19" s="9">
        <v>65.44</v>
      </c>
      <c r="S19" s="9">
        <v>65.44</v>
      </c>
      <c r="T19" s="9">
        <v>68.1</v>
      </c>
      <c r="U19" s="9">
        <v>68.1</v>
      </c>
      <c r="V19" s="9">
        <v>68.1</v>
      </c>
      <c r="W19" s="9">
        <v>68.1</v>
      </c>
      <c r="X19" s="9">
        <v>68.1</v>
      </c>
      <c r="Y19" s="9">
        <v>68.1</v>
      </c>
      <c r="Z19" s="59">
        <f>SUM(N19:Y19)</f>
        <v>801.2400000000001</v>
      </c>
      <c r="AA19" s="53">
        <f>SUM(C19:Y19)</f>
        <v>2957.95</v>
      </c>
    </row>
    <row r="20" spans="1:27" ht="13.5" customHeight="1" thickBot="1">
      <c r="A20" s="36"/>
      <c r="B20" s="31" t="s">
        <v>71</v>
      </c>
      <c r="C20" s="48"/>
      <c r="D20" s="49"/>
      <c r="E20" s="80"/>
      <c r="F20" s="49"/>
      <c r="G20" s="49"/>
      <c r="H20" s="80"/>
      <c r="I20" s="49"/>
      <c r="J20" s="49"/>
      <c r="K20" s="49">
        <v>393.47</v>
      </c>
      <c r="L20" s="49">
        <v>679.68</v>
      </c>
      <c r="M20" s="49">
        <v>714.61</v>
      </c>
      <c r="N20" s="9">
        <v>63.29</v>
      </c>
      <c r="O20" s="9">
        <v>63.29</v>
      </c>
      <c r="P20" s="9">
        <v>63.29</v>
      </c>
      <c r="Q20" s="9">
        <v>63.29</v>
      </c>
      <c r="R20" s="9">
        <v>63.29</v>
      </c>
      <c r="S20" s="9">
        <v>63.29</v>
      </c>
      <c r="T20" s="9">
        <v>63.47</v>
      </c>
      <c r="U20" s="9">
        <v>63.47</v>
      </c>
      <c r="V20" s="9">
        <v>63.47</v>
      </c>
      <c r="W20" s="9">
        <v>63.47</v>
      </c>
      <c r="X20" s="9">
        <v>63.47</v>
      </c>
      <c r="Y20" s="9">
        <v>63.47</v>
      </c>
      <c r="Z20" s="59">
        <f>SUM(N20:Y20)</f>
        <v>760.5600000000002</v>
      </c>
      <c r="AA20" s="53">
        <f>SUM(C20:Y20)</f>
        <v>2548.319999999999</v>
      </c>
    </row>
    <row r="21" spans="1:27" ht="14.25" customHeight="1" thickBot="1">
      <c r="A21" s="36" t="s">
        <v>35</v>
      </c>
      <c r="B21" s="31" t="s">
        <v>72</v>
      </c>
      <c r="C21" s="48"/>
      <c r="D21" s="49">
        <v>1134.99</v>
      </c>
      <c r="E21" s="80">
        <v>404.07</v>
      </c>
      <c r="F21" s="49">
        <v>539.69</v>
      </c>
      <c r="G21" s="49">
        <v>526.5</v>
      </c>
      <c r="H21" s="80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59">
        <f t="shared" si="6"/>
        <v>0</v>
      </c>
      <c r="AA21" s="53">
        <f t="shared" si="7"/>
        <v>2605.25</v>
      </c>
    </row>
    <row r="22" spans="1:27" ht="31.5" customHeight="1" thickBot="1">
      <c r="A22" s="36" t="s">
        <v>36</v>
      </c>
      <c r="B22" s="31" t="s">
        <v>73</v>
      </c>
      <c r="C22" s="48"/>
      <c r="D22" s="49">
        <v>1698.74</v>
      </c>
      <c r="E22" s="80">
        <v>6053.57</v>
      </c>
      <c r="F22" s="49">
        <v>7723.99</v>
      </c>
      <c r="G22" s="49">
        <v>7345.6</v>
      </c>
      <c r="H22" s="80">
        <v>5080.65</v>
      </c>
      <c r="I22" s="49">
        <v>5993.48</v>
      </c>
      <c r="J22" s="49">
        <v>6334.14</v>
      </c>
      <c r="K22" s="49">
        <v>6431.51</v>
      </c>
      <c r="L22" s="49">
        <v>6758.28</v>
      </c>
      <c r="M22" s="49">
        <v>5359.26</v>
      </c>
      <c r="N22" s="9">
        <v>391.16</v>
      </c>
      <c r="O22" s="10">
        <v>350.65</v>
      </c>
      <c r="P22" s="10">
        <v>435.94</v>
      </c>
      <c r="Q22" s="10">
        <v>340.8</v>
      </c>
      <c r="R22" s="10">
        <v>352.63</v>
      </c>
      <c r="S22" s="10">
        <v>355.92</v>
      </c>
      <c r="T22" s="10">
        <v>411.65</v>
      </c>
      <c r="U22" s="10">
        <v>513.01</v>
      </c>
      <c r="V22" s="10">
        <v>492.28</v>
      </c>
      <c r="W22" s="10">
        <v>572.17</v>
      </c>
      <c r="X22" s="10">
        <v>532.14</v>
      </c>
      <c r="Y22" s="17">
        <v>485.77</v>
      </c>
      <c r="Z22" s="59">
        <f t="shared" si="6"/>
        <v>5234.120000000001</v>
      </c>
      <c r="AA22" s="53">
        <f t="shared" si="7"/>
        <v>64013.340000000004</v>
      </c>
    </row>
    <row r="23" spans="1:27" ht="24" customHeight="1" thickBot="1">
      <c r="A23" s="36" t="s">
        <v>37</v>
      </c>
      <c r="B23" s="31" t="s">
        <v>63</v>
      </c>
      <c r="C23" s="48"/>
      <c r="D23" s="49">
        <v>3060.7</v>
      </c>
      <c r="E23" s="80">
        <v>3296.02</v>
      </c>
      <c r="F23" s="49">
        <v>1426.08</v>
      </c>
      <c r="G23" s="49">
        <v>717.19</v>
      </c>
      <c r="H23" s="80">
        <v>1528.48</v>
      </c>
      <c r="I23" s="49">
        <v>1032.91</v>
      </c>
      <c r="J23" s="49">
        <v>901.05</v>
      </c>
      <c r="K23" s="49">
        <v>703.5</v>
      </c>
      <c r="L23" s="49">
        <v>681.64</v>
      </c>
      <c r="M23" s="49">
        <v>605.7</v>
      </c>
      <c r="N23" s="9">
        <v>22.46</v>
      </c>
      <c r="O23" s="10">
        <v>31.83</v>
      </c>
      <c r="P23" s="10">
        <v>30.49</v>
      </c>
      <c r="Q23" s="10">
        <v>30.46</v>
      </c>
      <c r="R23" s="10">
        <v>29.7</v>
      </c>
      <c r="S23" s="10">
        <v>25.96</v>
      </c>
      <c r="T23" s="10">
        <v>58.54</v>
      </c>
      <c r="U23" s="10">
        <v>30.38</v>
      </c>
      <c r="V23" s="10">
        <v>18.55</v>
      </c>
      <c r="W23" s="10">
        <v>56.04</v>
      </c>
      <c r="X23" s="10">
        <v>24.09</v>
      </c>
      <c r="Y23" s="17">
        <v>65.62</v>
      </c>
      <c r="Z23" s="59">
        <f t="shared" si="6"/>
        <v>424.12</v>
      </c>
      <c r="AA23" s="53">
        <f t="shared" si="7"/>
        <v>14377.389999999998</v>
      </c>
    </row>
    <row r="24" spans="1:27" ht="33.75" customHeight="1" thickBot="1">
      <c r="A24" s="36" t="s">
        <v>54</v>
      </c>
      <c r="B24" s="31" t="s">
        <v>65</v>
      </c>
      <c r="C24" s="48"/>
      <c r="D24" s="49">
        <v>1225.52</v>
      </c>
      <c r="E24" s="80">
        <v>5352.54</v>
      </c>
      <c r="F24" s="49">
        <v>5135.95</v>
      </c>
      <c r="G24" s="49">
        <v>7125.61</v>
      </c>
      <c r="H24" s="80">
        <v>5925.84</v>
      </c>
      <c r="I24" s="49">
        <v>7740.41</v>
      </c>
      <c r="J24" s="49">
        <v>6591.02</v>
      </c>
      <c r="K24" s="49">
        <v>6938.5</v>
      </c>
      <c r="L24" s="49">
        <v>7600.1</v>
      </c>
      <c r="M24" s="49">
        <v>8087.59</v>
      </c>
      <c r="N24" s="9">
        <f>15.98+210.46+343.19</f>
        <v>569.63</v>
      </c>
      <c r="O24" s="10">
        <f>16.58+247.23+368.18</f>
        <v>631.99</v>
      </c>
      <c r="P24" s="10">
        <f>15.81+223.03+377.45</f>
        <v>616.29</v>
      </c>
      <c r="Q24" s="10">
        <f>19.63+262.35+352.38</f>
        <v>634.36</v>
      </c>
      <c r="R24" s="10">
        <f>16.53+327.85+349.76</f>
        <v>694.14</v>
      </c>
      <c r="S24" s="10">
        <f>16.04+276.74+329.88</f>
        <v>622.6600000000001</v>
      </c>
      <c r="T24" s="10">
        <f>17.34+225.65+334.68</f>
        <v>577.6700000000001</v>
      </c>
      <c r="U24" s="10">
        <f>324.79+16.39+227.74</f>
        <v>568.9200000000001</v>
      </c>
      <c r="V24" s="10">
        <f>293.57+502.52</f>
        <v>796.0899999999999</v>
      </c>
      <c r="W24" s="10">
        <f>17.27+490.24+488.09</f>
        <v>995.5999999999999</v>
      </c>
      <c r="X24" s="10">
        <f>18.98+393.17+469.89</f>
        <v>882.04</v>
      </c>
      <c r="Y24" s="17">
        <f>21.42+547.01+431.13</f>
        <v>999.56</v>
      </c>
      <c r="Z24" s="59">
        <f t="shared" si="6"/>
        <v>8588.95</v>
      </c>
      <c r="AA24" s="53">
        <f t="shared" si="7"/>
        <v>70312.03</v>
      </c>
    </row>
    <row r="25" spans="1:27" ht="14.25" customHeight="1" thickBot="1">
      <c r="A25" s="36" t="s">
        <v>55</v>
      </c>
      <c r="B25" s="31" t="s">
        <v>7</v>
      </c>
      <c r="C25" s="48"/>
      <c r="D25" s="49">
        <v>27503.28</v>
      </c>
      <c r="E25" s="80">
        <v>51183.23</v>
      </c>
      <c r="F25" s="49">
        <v>64075.07</v>
      </c>
      <c r="G25" s="49">
        <v>68003.85</v>
      </c>
      <c r="H25" s="80">
        <v>69719.48</v>
      </c>
      <c r="I25" s="49">
        <v>76199.47</v>
      </c>
      <c r="J25" s="49">
        <v>71929.2</v>
      </c>
      <c r="K25" s="49">
        <v>70002.25</v>
      </c>
      <c r="L25" s="49">
        <v>75183.01</v>
      </c>
      <c r="M25" s="49">
        <v>83391.66</v>
      </c>
      <c r="N25" s="9">
        <f>11392.6-3320.73</f>
        <v>8071.870000000001</v>
      </c>
      <c r="O25" s="10">
        <f>10396.59-3040.76</f>
        <v>7355.83</v>
      </c>
      <c r="P25" s="10">
        <f>10985.22-3482.53</f>
        <v>7502.689999999999</v>
      </c>
      <c r="Q25" s="10">
        <f>10210.11-2897.23</f>
        <v>7312.880000000001</v>
      </c>
      <c r="R25" s="10">
        <f>11069.48-3611.67</f>
        <v>7457.8099999999995</v>
      </c>
      <c r="S25" s="10">
        <f>10880.32-3396.91</f>
        <v>7483.41</v>
      </c>
      <c r="T25" s="10">
        <f>12379.7-3944.55</f>
        <v>8435.150000000001</v>
      </c>
      <c r="U25" s="10">
        <f>12621.93-4818.65</f>
        <v>7803.280000000001</v>
      </c>
      <c r="V25" s="10">
        <f>12824.46-4248.43</f>
        <v>8576.029999999999</v>
      </c>
      <c r="W25" s="10">
        <f>12935.09-4187.39</f>
        <v>8747.7</v>
      </c>
      <c r="X25" s="10">
        <f>13064.16-3650.83</f>
        <v>9413.33</v>
      </c>
      <c r="Y25" s="17">
        <f>18472.24-8782.82</f>
        <v>9689.420000000002</v>
      </c>
      <c r="Z25" s="59">
        <f t="shared" si="6"/>
        <v>97849.40000000001</v>
      </c>
      <c r="AA25" s="53">
        <f t="shared" si="7"/>
        <v>755039.9</v>
      </c>
    </row>
    <row r="26" spans="1:27" ht="13.5" customHeight="1" thickBot="1">
      <c r="A26" s="36" t="s">
        <v>57</v>
      </c>
      <c r="B26" s="32" t="s">
        <v>3</v>
      </c>
      <c r="C26" s="50"/>
      <c r="D26" s="51">
        <v>4958.29</v>
      </c>
      <c r="E26" s="81">
        <v>8414.61</v>
      </c>
      <c r="F26" s="51">
        <v>16992.01</v>
      </c>
      <c r="G26" s="51">
        <v>19920.12</v>
      </c>
      <c r="H26" s="81">
        <v>21139.67</v>
      </c>
      <c r="I26" s="51">
        <v>22076.43</v>
      </c>
      <c r="J26" s="51">
        <v>24287.38</v>
      </c>
      <c r="K26" s="51">
        <v>24660.44</v>
      </c>
      <c r="L26" s="51">
        <v>26327.91</v>
      </c>
      <c r="M26" s="51">
        <v>25842.99</v>
      </c>
      <c r="N26" s="11">
        <f>1680.4+4.29+369.06</f>
        <v>2053.75</v>
      </c>
      <c r="O26" s="12">
        <f>1482.3+3.81+327.14</f>
        <v>1813.25</v>
      </c>
      <c r="P26" s="12">
        <f>1786.7+4.56+391.55</f>
        <v>2182.81</v>
      </c>
      <c r="Q26" s="12">
        <f>1414.7+3.64+312.84</f>
        <v>1731.18</v>
      </c>
      <c r="R26" s="12">
        <f>1929.1+4.91+421.7</f>
        <v>2355.71</v>
      </c>
      <c r="S26" s="12">
        <f>1748.9+4.46+383.55</f>
        <v>2136.9100000000003</v>
      </c>
      <c r="T26" s="10">
        <f>2218.7+5.62+482.56</f>
        <v>2706.8799999999997</v>
      </c>
      <c r="U26" s="12">
        <f>1573.8+3.99+335.68</f>
        <v>1913.47</v>
      </c>
      <c r="V26" s="12">
        <f>1970.5+4.96+417.55</f>
        <v>2393.01</v>
      </c>
      <c r="W26" s="12">
        <f>1878.6+4.73+397.3</f>
        <v>2280.63</v>
      </c>
      <c r="X26" s="10">
        <f>1671.9+4.23+355.29</f>
        <v>2031.42</v>
      </c>
      <c r="Y26" s="19">
        <f>1745.2+4.47+369.16</f>
        <v>2118.83</v>
      </c>
      <c r="Z26" s="59">
        <f t="shared" si="6"/>
        <v>25717.850000000006</v>
      </c>
      <c r="AA26" s="53">
        <f t="shared" si="7"/>
        <v>220337.7</v>
      </c>
    </row>
    <row r="27" spans="1:27" ht="13.5" customHeight="1" thickBot="1">
      <c r="A27" s="36"/>
      <c r="B27" s="43" t="s">
        <v>60</v>
      </c>
      <c r="C27" s="83"/>
      <c r="D27" s="84"/>
      <c r="E27" s="85"/>
      <c r="F27" s="84"/>
      <c r="G27" s="84"/>
      <c r="H27" s="90">
        <f>H8*5%</f>
        <v>7119.144</v>
      </c>
      <c r="I27" s="87">
        <f>I8*5%</f>
        <v>7119.880000000001</v>
      </c>
      <c r="J27" s="87">
        <f>J8*5%</f>
        <v>7114.9580000000005</v>
      </c>
      <c r="K27" s="87">
        <f>K8*5%</f>
        <v>6875.804</v>
      </c>
      <c r="L27" s="87">
        <f>L8*5%</f>
        <v>6875.436000000001</v>
      </c>
      <c r="M27" s="87">
        <f>(M8+M9+M10)*5%</f>
        <v>6748.2155</v>
      </c>
      <c r="N27" s="86">
        <f>(N8+N9+N10)*5%</f>
        <v>580.8825</v>
      </c>
      <c r="O27" s="86">
        <f aca="true" t="shared" si="8" ref="O27:Y27">(O8+O9+O10)*5%</f>
        <v>580.8825</v>
      </c>
      <c r="P27" s="86">
        <f t="shared" si="8"/>
        <v>580.8825</v>
      </c>
      <c r="Q27" s="86">
        <f t="shared" si="8"/>
        <v>580.8825</v>
      </c>
      <c r="R27" s="86">
        <f t="shared" si="8"/>
        <v>580.8825</v>
      </c>
      <c r="S27" s="86">
        <f t="shared" si="8"/>
        <v>580.8825</v>
      </c>
      <c r="T27" s="86">
        <f t="shared" si="8"/>
        <v>581.0165000000001</v>
      </c>
      <c r="U27" s="86">
        <f t="shared" si="8"/>
        <v>581.0165000000001</v>
      </c>
      <c r="V27" s="86">
        <f t="shared" si="8"/>
        <v>581.0165000000001</v>
      </c>
      <c r="W27" s="86">
        <f t="shared" si="8"/>
        <v>581.0165000000001</v>
      </c>
      <c r="X27" s="86">
        <f t="shared" si="8"/>
        <v>581.0165000000001</v>
      </c>
      <c r="Y27" s="86">
        <f t="shared" si="8"/>
        <v>581.0165000000001</v>
      </c>
      <c r="Z27" s="87">
        <f t="shared" si="6"/>
        <v>6971.393999999999</v>
      </c>
      <c r="AA27" s="68"/>
    </row>
    <row r="28" spans="1:27" ht="13.5" customHeight="1" thickBot="1">
      <c r="A28" s="36" t="s">
        <v>38</v>
      </c>
      <c r="B28" s="65" t="s">
        <v>51</v>
      </c>
      <c r="C28" s="66"/>
      <c r="D28" s="67"/>
      <c r="E28" s="82"/>
      <c r="F28" s="71"/>
      <c r="G28" s="71"/>
      <c r="H28" s="82"/>
      <c r="I28" s="71"/>
      <c r="J28" s="71"/>
      <c r="K28" s="91">
        <f aca="true" t="shared" si="9" ref="K28:Y28">SUM(K8+K9+K10-K11)-K27</f>
        <v>-25253.704000000023</v>
      </c>
      <c r="L28" s="91">
        <f>SUM(L8+L9+L10-L11)-L27</f>
        <v>-29509.166000000012</v>
      </c>
      <c r="M28" s="91">
        <f>SUM(M8+M9+M10-M11)-M27</f>
        <v>-17075.475500000008</v>
      </c>
      <c r="N28" s="88">
        <f t="shared" si="9"/>
        <v>-355.8325000000008</v>
      </c>
      <c r="O28" s="88">
        <f t="shared" si="9"/>
        <v>640.1774999999994</v>
      </c>
      <c r="P28" s="88">
        <f t="shared" si="9"/>
        <v>51.54750000000206</v>
      </c>
      <c r="Q28" s="88">
        <f t="shared" si="9"/>
        <v>826.657499999999</v>
      </c>
      <c r="R28" s="88">
        <f t="shared" si="9"/>
        <v>-32.71249999999998</v>
      </c>
      <c r="S28" s="88">
        <f t="shared" si="9"/>
        <v>156.44749999999988</v>
      </c>
      <c r="T28" s="88">
        <f t="shared" si="9"/>
        <v>-1340.386500000001</v>
      </c>
      <c r="U28" s="88">
        <f t="shared" si="9"/>
        <v>-1582.6165000000005</v>
      </c>
      <c r="V28" s="88">
        <f t="shared" si="9"/>
        <v>-1785.1464999999994</v>
      </c>
      <c r="W28" s="88">
        <f t="shared" si="9"/>
        <v>-1895.7765000000004</v>
      </c>
      <c r="X28" s="88">
        <f t="shared" si="9"/>
        <v>-2024.8465</v>
      </c>
      <c r="Y28" s="88">
        <f t="shared" si="9"/>
        <v>-7432.926500000005</v>
      </c>
      <c r="Z28" s="87">
        <f t="shared" si="6"/>
        <v>-14775.414000000006</v>
      </c>
      <c r="AA28" s="68"/>
    </row>
    <row r="29" spans="1:27" ht="23.25" customHeight="1" thickBot="1">
      <c r="A29" s="36" t="s">
        <v>39</v>
      </c>
      <c r="B29" s="100" t="s">
        <v>21</v>
      </c>
      <c r="C29" s="101">
        <v>9411.61</v>
      </c>
      <c r="D29" s="102">
        <v>24429.99</v>
      </c>
      <c r="E29" s="103">
        <f>SUM(E8-E11)</f>
        <v>-5835.209999999992</v>
      </c>
      <c r="F29" s="104">
        <f>SUM(F8-F11)</f>
        <v>-4494.5199999999895</v>
      </c>
      <c r="G29" s="104">
        <f>SUM(G8-G11)</f>
        <v>-6598.50999999998</v>
      </c>
      <c r="H29" s="105">
        <f>SUM(H8-H11)-H27</f>
        <v>-21160.243999999977</v>
      </c>
      <c r="I29" s="106">
        <f>SUM(I8-I11)-I27</f>
        <v>-33580.82000000001</v>
      </c>
      <c r="J29" s="106">
        <f>SUM(J8-J11)-J27</f>
        <v>-25934.318000000014</v>
      </c>
      <c r="K29" s="107">
        <f>SUM(K8+K9+K10-K11)-K27</f>
        <v>-25253.704000000023</v>
      </c>
      <c r="L29" s="107">
        <f>SUM(L8+L9+L10-L11)-L27</f>
        <v>-29509.166000000012</v>
      </c>
      <c r="M29" s="106">
        <f>SUM(M8+M9+M10-M11)-M27</f>
        <v>-17075.475500000008</v>
      </c>
      <c r="N29" s="108">
        <f>SUM(N8+N9+N10-N11)-N27</f>
        <v>-355.8325000000008</v>
      </c>
      <c r="O29" s="109">
        <f>SUM(O28+N29)</f>
        <v>284.34499999999866</v>
      </c>
      <c r="P29" s="109">
        <f aca="true" t="shared" si="10" ref="P29:Y29">SUM(P28+O29)</f>
        <v>335.8925000000007</v>
      </c>
      <c r="Q29" s="109">
        <f t="shared" si="10"/>
        <v>1162.5499999999997</v>
      </c>
      <c r="R29" s="109">
        <f t="shared" si="10"/>
        <v>1129.8374999999996</v>
      </c>
      <c r="S29" s="109">
        <f t="shared" si="10"/>
        <v>1286.2849999999994</v>
      </c>
      <c r="T29" s="109">
        <f t="shared" si="10"/>
        <v>-54.10150000000158</v>
      </c>
      <c r="U29" s="109">
        <f t="shared" si="10"/>
        <v>-1636.7180000000021</v>
      </c>
      <c r="V29" s="109">
        <f t="shared" si="10"/>
        <v>-3421.8645000000015</v>
      </c>
      <c r="W29" s="109">
        <f t="shared" si="10"/>
        <v>-5317.641000000001</v>
      </c>
      <c r="X29" s="109">
        <f t="shared" si="10"/>
        <v>-7342.487500000001</v>
      </c>
      <c r="Y29" s="109">
        <f t="shared" si="10"/>
        <v>-14775.414000000006</v>
      </c>
      <c r="Z29" s="104"/>
      <c r="AA29" s="110"/>
    </row>
    <row r="30" spans="1:27" ht="23.25" customHeight="1" thickBot="1">
      <c r="A30" s="36" t="s">
        <v>40</v>
      </c>
      <c r="B30" s="43" t="s">
        <v>22</v>
      </c>
      <c r="C30" s="39">
        <v>9411.61</v>
      </c>
      <c r="D30" s="43">
        <v>33841.6</v>
      </c>
      <c r="E30" s="18">
        <f>SUM(E8-E11,D30)</f>
        <v>28006.390000000007</v>
      </c>
      <c r="F30" s="59">
        <f>SUM(F8-F11,E30)</f>
        <v>23511.870000000017</v>
      </c>
      <c r="G30" s="59">
        <f>SUM(G8-G11,F30)</f>
        <v>16913.360000000037</v>
      </c>
      <c r="H30" s="90">
        <f aca="true" t="shared" si="11" ref="H30:N30">SUM(H29+G30)</f>
        <v>-4246.88399999994</v>
      </c>
      <c r="I30" s="87">
        <f t="shared" si="11"/>
        <v>-37827.70399999995</v>
      </c>
      <c r="J30" s="87">
        <f t="shared" si="11"/>
        <v>-63762.02199999996</v>
      </c>
      <c r="K30" s="87">
        <f t="shared" si="11"/>
        <v>-89015.72599999998</v>
      </c>
      <c r="L30" s="87">
        <f t="shared" si="11"/>
        <v>-118524.89199999999</v>
      </c>
      <c r="M30" s="87">
        <f t="shared" si="11"/>
        <v>-135600.3675</v>
      </c>
      <c r="N30" s="87">
        <f t="shared" si="11"/>
        <v>-135956.19999999998</v>
      </c>
      <c r="O30" s="89">
        <f>SUM(O28+N30)</f>
        <v>-135316.0225</v>
      </c>
      <c r="P30" s="89">
        <f aca="true" t="shared" si="12" ref="P30:X30">SUM(P28+O30)</f>
        <v>-135264.47499999998</v>
      </c>
      <c r="Q30" s="89">
        <f t="shared" si="12"/>
        <v>-134437.81749999998</v>
      </c>
      <c r="R30" s="89">
        <f t="shared" si="12"/>
        <v>-134470.52999999997</v>
      </c>
      <c r="S30" s="89">
        <f t="shared" si="12"/>
        <v>-134314.08249999996</v>
      </c>
      <c r="T30" s="89">
        <f t="shared" si="12"/>
        <v>-135654.46899999995</v>
      </c>
      <c r="U30" s="89">
        <f t="shared" si="12"/>
        <v>-137237.08549999996</v>
      </c>
      <c r="V30" s="89">
        <f t="shared" si="12"/>
        <v>-139022.23199999996</v>
      </c>
      <c r="W30" s="89">
        <f t="shared" si="12"/>
        <v>-140918.00849999997</v>
      </c>
      <c r="X30" s="89">
        <f t="shared" si="12"/>
        <v>-142942.85499999998</v>
      </c>
      <c r="Y30" s="89">
        <f>SUM(Y28+X30)</f>
        <v>-150375.78149999998</v>
      </c>
      <c r="Z30" s="59"/>
      <c r="AA30" s="54"/>
    </row>
    <row r="31" spans="1:27" ht="0.75" customHeight="1" hidden="1" thickBot="1">
      <c r="A31" s="36" t="s">
        <v>41</v>
      </c>
      <c r="B31" s="43" t="s">
        <v>6</v>
      </c>
      <c r="C31" s="40"/>
      <c r="D31" s="44"/>
      <c r="E31" s="72"/>
      <c r="F31" s="76"/>
      <c r="G31" s="76"/>
      <c r="H31" s="76"/>
      <c r="I31" s="76"/>
      <c r="J31" s="76"/>
      <c r="K31" s="76"/>
      <c r="L31" s="76"/>
      <c r="M31" s="76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"/>
      <c r="Z31" s="60"/>
      <c r="AA31" s="55"/>
    </row>
    <row r="32" spans="1:27" ht="15" customHeight="1" hidden="1" thickBot="1">
      <c r="A32" s="37" t="s">
        <v>42</v>
      </c>
      <c r="B32" s="33" t="s">
        <v>23</v>
      </c>
      <c r="C32" s="40"/>
      <c r="D32" s="44"/>
      <c r="E32" s="72"/>
      <c r="F32" s="76"/>
      <c r="G32" s="76"/>
      <c r="H32" s="76"/>
      <c r="I32" s="76"/>
      <c r="J32" s="76"/>
      <c r="K32" s="76"/>
      <c r="L32" s="76"/>
      <c r="M32" s="76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0"/>
      <c r="Z32" s="59"/>
      <c r="AA32" s="56"/>
    </row>
    <row r="33" spans="1:27" ht="24" customHeight="1" hidden="1" thickBot="1">
      <c r="A33" s="37" t="s">
        <v>45</v>
      </c>
      <c r="B33" s="34" t="s">
        <v>46</v>
      </c>
      <c r="C33" s="41"/>
      <c r="D33" s="45"/>
      <c r="E33" s="73"/>
      <c r="F33" s="70"/>
      <c r="G33" s="70"/>
      <c r="H33" s="70"/>
      <c r="I33" s="70"/>
      <c r="J33" s="70"/>
      <c r="K33" s="70"/>
      <c r="L33" s="70"/>
      <c r="M33" s="70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>
        <f>SUM(Y29-Y31)</f>
        <v>-14775.414000000006</v>
      </c>
      <c r="Z33" s="61"/>
      <c r="AA33" s="57"/>
    </row>
    <row r="34" spans="1:27" ht="23.25" customHeight="1" hidden="1" thickBot="1">
      <c r="A34" s="64" t="s">
        <v>50</v>
      </c>
      <c r="B34" s="34" t="s">
        <v>24</v>
      </c>
      <c r="C34" s="41"/>
      <c r="D34" s="45"/>
      <c r="E34" s="70"/>
      <c r="F34" s="70"/>
      <c r="G34" s="70"/>
      <c r="H34" s="70"/>
      <c r="I34" s="70"/>
      <c r="J34" s="70"/>
      <c r="K34" s="70"/>
      <c r="L34" s="70"/>
      <c r="M34" s="70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>
        <f>SUM(Y30-Y31)</f>
        <v>-150375.78149999998</v>
      </c>
      <c r="Z34" s="61"/>
      <c r="AA34" s="57"/>
    </row>
    <row r="35" spans="3:27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</row>
    <row r="36" ht="1.5" customHeight="1" hidden="1"/>
    <row r="37" ht="0.75" customHeight="1" hidden="1"/>
    <row r="38" ht="12.75" hidden="1"/>
    <row r="39" ht="12.75" hidden="1"/>
    <row r="40" ht="12.75">
      <c r="B40" t="s">
        <v>64</v>
      </c>
    </row>
    <row r="44" ht="12.75" customHeight="1"/>
    <row r="45" ht="12.75" customHeight="1"/>
  </sheetData>
  <sheetProtection/>
  <mergeCells count="5">
    <mergeCell ref="B4:AA4"/>
    <mergeCell ref="B5:AA5"/>
    <mergeCell ref="B3:AA3"/>
    <mergeCell ref="B1:P1"/>
    <mergeCell ref="B2:AA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2021-02-05T06:36:40Z</cp:lastPrinted>
  <dcterms:created xsi:type="dcterms:W3CDTF">2011-06-16T11:06:26Z</dcterms:created>
  <dcterms:modified xsi:type="dcterms:W3CDTF">2021-02-05T06:36:55Z</dcterms:modified>
  <cp:category/>
  <cp:version/>
  <cp:contentType/>
  <cp:contentStatus/>
</cp:coreProperties>
</file>